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440" yWindow="276" windowWidth="5916" windowHeight="6648" tabRatio="821" firstSheet="9" activeTab="17"/>
  </bookViews>
  <sheets>
    <sheet name="Revisions" sheetId="1" r:id="rId1"/>
    <sheet name="S_GW_caution" sheetId="2" r:id="rId2"/>
    <sheet name="DISCLAIMER" sheetId="3" r:id="rId3"/>
    <sheet name="title_caution" sheetId="4" r:id="rId4"/>
    <sheet name="Title" sheetId="5" r:id="rId5"/>
    <sheet name="warning" sheetId="6" r:id="rId6"/>
    <sheet name="dialog2" sheetId="7" r:id="rId7"/>
    <sheet name="instruction_GW" sheetId="8" r:id="rId8"/>
    <sheet name="dataEntry_caution" sheetId="9" r:id="rId9"/>
    <sheet name="Symbols" sheetId="10" r:id="rId10"/>
    <sheet name="dialog3" sheetId="11" r:id="rId11"/>
    <sheet name="dialog1" sheetId="12" r:id="rId12"/>
    <sheet name="back_calc_dc_inds" sheetId="13" r:id="rId13"/>
    <sheet name="GW_CLU" sheetId="14" r:id="rId14"/>
    <sheet name="back_calc_dc_ur" sheetId="15" r:id="rId15"/>
    <sheet name="DC_InputOutput" sheetId="16" r:id="rId16"/>
    <sheet name="back_calc_gw" sheetId="17" r:id="rId17"/>
    <sheet name="MainForm" sheetId="18" r:id="rId18"/>
    <sheet name="DC_InputOutput_industrial" sheetId="19" r:id="rId19"/>
    <sheet name="Chemical List" sheetId="20" r:id="rId20"/>
    <sheet name="back_calc" sheetId="21" r:id="rId21"/>
    <sheet name="InputOutput" sheetId="22" r:id="rId22"/>
    <sheet name="Soil-to-GroundWater" sheetId="23" r:id="rId23"/>
    <sheet name="Soil_vapor" sheetId="24" r:id="rId24"/>
    <sheet name="Study_graph" sheetId="25" r:id="rId25"/>
    <sheet name="mass_nav" sheetId="26" r:id="rId26"/>
    <sheet name="MassDistPhase" sheetId="27" r:id="rId27"/>
    <sheet name="EC Distribution Graph" sheetId="28" r:id="rId28"/>
    <sheet name="EC_Mass Dist" sheetId="29" r:id="rId29"/>
  </sheets>
  <externalReferences>
    <externalReference r:id="rId32"/>
  </externalReferences>
  <definedNames>
    <definedName name="ABW" localSheetId="18">'DC_InputOutput_industrial'!$B$53</definedName>
    <definedName name="ABW">'DC_InputOutput'!$B$58</definedName>
    <definedName name="air_orig">'MainForm'!$G$48</definedName>
    <definedName name="air_phase">'InputOutput'!$T$38</definedName>
    <definedName name="air_phase_1">'InputOutput'!$T$73</definedName>
    <definedName name="AirError">'Soil-to-GroundWater'!$H$7</definedName>
    <definedName name="array_chemicalName">'MainForm'!$B$13:$D$42</definedName>
    <definedName name="array_conc">'Soil-to-GroundWater'!$Z$16:$Z$46</definedName>
    <definedName name="array_mass_distribution">'Soil-to-GroundWater'!$V$52:$V$55</definedName>
    <definedName name="AT" localSheetId="18">'DC_InputOutput_industrial'!$B$59</definedName>
    <definedName name="AT">'DC_InputOutput'!$B$64</definedName>
    <definedName name="AT_C" localSheetId="18">'DC_InputOutput_industrial'!$B$61</definedName>
    <definedName name="AT_C">'DC_InputOutput'!$B$66</definedName>
    <definedName name="BAPi">'Chemical List'!$P$39</definedName>
    <definedName name="BAPo">'Chemical List'!$O$39</definedName>
    <definedName name="benzene">'Soil-to-GroundWater'!$AB$53</definedName>
    <definedName name="benzene_45000">'MainForm'!$AF$83</definedName>
    <definedName name="benzene_45000_pf">'MainForm'!$AE$83</definedName>
    <definedName name="benzene_cul">'InputOutput'!$C$24</definedName>
    <definedName name="benzene_pred_well">'InputOutput'!$E$24</definedName>
    <definedName name="benzene_target">'MainForm'!$AG$44</definedName>
    <definedName name="benzene_target_hi">'MainForm'!$AF$44</definedName>
    <definedName name="benzene_target_pf">'MainForm'!$AC$44</definedName>
    <definedName name="benzene_target_risk">'MainForm'!$AE$44</definedName>
    <definedName name="benzene_target_tph">'MainForm'!$AD$44</definedName>
    <definedName name="benzeneC">'MainForm'!$G$25</definedName>
    <definedName name="Carci_air">'Soil-to-GroundWater'!$BD$54</definedName>
    <definedName name="chemlist2">'Chemical List'!$B$10:$BT$44</definedName>
    <definedName name="compl">'Soil_vapor'!$Q$55</definedName>
    <definedName name="compl_1">'Soil_vapor'!$Q$29</definedName>
    <definedName name="CRITERIA">'Soil-to-GroundWater'!$AP$53</definedName>
    <definedName name="criteria_dc_ind">'DC_InputOutput_industrial'!$AD$21</definedName>
    <definedName name="Criteria_dc_ul">'DC_InputOutput'!$AD$22</definedName>
    <definedName name="criteria_gw">'GW_CLU'!$AC$14</definedName>
    <definedName name="Criteria_GW_result">'InputOutput'!$T$20</definedName>
    <definedName name="Criteria_GW_result_name">'InputOutput'!$S$20</definedName>
    <definedName name="criteria2">'Soil-to-GroundWater'!$AP$54</definedName>
    <definedName name="data1">'MainForm'!$G$13</definedName>
    <definedName name="data1_1">'MainForm'!$G$65</definedName>
    <definedName name="data2">'MainForm'!$G$42</definedName>
    <definedName name="data2_2">'MainForm'!$G$94</definedName>
    <definedName name="DC_5">'MainForm'!$AD$26</definedName>
    <definedName name="DC_5_result">'MainForm'!$AC$26</definedName>
    <definedName name="DC_5_result_hi">'MainForm'!$AF$26</definedName>
    <definedName name="DC_5_result_risk">'MainForm'!$AE$26</definedName>
    <definedName name="DC_6">'MainForm'!#REF!</definedName>
    <definedName name="DC_6_result">'MainForm'!#REF!</definedName>
    <definedName name="DC_6_result_hi">'MainForm'!#REF!</definedName>
    <definedName name="DC_6_result_risk">'MainForm'!#REF!</definedName>
    <definedName name="DC_adj">'DC_InputOutput'!$S$44</definedName>
    <definedName name="DC_adj_industrial">'DC_InputOutput_industrial'!$S$44</definedName>
    <definedName name="dc_adj_p_f">'DC_InputOutput'!$W$48</definedName>
    <definedName name="dc_adj_p_f_1">'DC_InputOutput'!$W$49</definedName>
    <definedName name="dc_benz">'DC_InputOutput'!$T$52</definedName>
    <definedName name="dc_benz_ref">'MainForm'!$AF$65</definedName>
    <definedName name="dc_benz_resut">'DC_InputOutput'!$U$26</definedName>
    <definedName name="DC_Benzene">'MainForm'!$AD$27</definedName>
    <definedName name="DC_benzene_result">'MainForm'!$AC$27</definedName>
    <definedName name="DC_benzene_result_hi">'MainForm'!$AF$27</definedName>
    <definedName name="DC_benzene_result_risk">'MainForm'!$AE$27</definedName>
    <definedName name="dc_c_criteria">'MainForm'!$AG$20</definedName>
    <definedName name="dc_C_CUL">'MainForm'!$AG$19</definedName>
    <definedName name="dc_criteria">'MainForm'!$AD$20</definedName>
    <definedName name="dc_cul">'MainForm'!$AD$19</definedName>
    <definedName name="dc_EDB">'MainForm'!$AC$29</definedName>
    <definedName name="dc_edb_1">'DC_InputOutput'!$T$48</definedName>
    <definedName name="dc_edb_result">'DC_InputOutput'!$U$35</definedName>
    <definedName name="dc_EDC">'MainForm'!$AC$30</definedName>
    <definedName name="dc_edc_1">'DC_InputOutput'!$T$49</definedName>
    <definedName name="dc_edc_result">'DC_InputOutput'!$U$36</definedName>
    <definedName name="DC_HI">'MainForm'!$AD$25</definedName>
    <definedName name="dc_HI_ref">'MainForm'!$AF$62</definedName>
    <definedName name="DC_HI_Result">'MainForm'!$AC$25</definedName>
    <definedName name="DC_HI_Result_hi">'MainForm'!$AF$25</definedName>
    <definedName name="DC_HI_Result_risk">'MainForm'!$AE$25</definedName>
    <definedName name="dc_HI_sum">'DC_InputOutput'!$T$44</definedName>
    <definedName name="dc_ind_5">'MainForm'!$AH$26</definedName>
    <definedName name="dc_ind_5_result">'MainForm'!$AG$26</definedName>
    <definedName name="dc_ind_5_result_hi">'MainForm'!$AJ$26</definedName>
    <definedName name="dc_ind_5_result_risk">'MainForm'!$AI$26</definedName>
    <definedName name="dc_ind_adj_PF">'DC_InputOutput_industrial'!$W$48</definedName>
    <definedName name="dc_ind_adj_PF_1">'DC_InputOutput_industrial'!$W$49</definedName>
    <definedName name="dc_ind_hi">'MainForm'!$AH$25</definedName>
    <definedName name="dc_ind_hi_result">'MainForm'!$AG$25</definedName>
    <definedName name="dc_ind_hi_result_hi">'MainForm'!$AJ$25</definedName>
    <definedName name="dc_ind_hi_result_risk">'MainForm'!$AI$25</definedName>
    <definedName name="dc_ind_HI_sum">'DC_InputOutput_industrial'!$T$44</definedName>
    <definedName name="dc_ind_hi_sum_1">'DC_InputOutput_industrial'!$K$44</definedName>
    <definedName name="dc_ind_risk_sum">'DC_InputOutput_industrial'!$U$44</definedName>
    <definedName name="dc_ind_risk_sum_1">'DC_InputOutput_industrial'!$M$44</definedName>
    <definedName name="Dc_ind_risk5">'DC_InputOutput_industrial'!$T$47</definedName>
    <definedName name="DC_ind_soil_CUL">'MainForm'!$AJ$65</definedName>
    <definedName name="DC_ind_soil_CUL_Criteria">'MainForm'!$AJ$66</definedName>
    <definedName name="dc_induse_hi">'DC_InputOutput_industrial'!$AE$24</definedName>
    <definedName name="dc_induse_hi_TEST">'DC_InputOutput_industrial'!$AE$36</definedName>
    <definedName name="dc_induse_PF">'DC_InputOutput_industrial'!$AD$22</definedName>
    <definedName name="dc_induse_PF_test">'DC_InputOutput_industrial'!$AE$38</definedName>
    <definedName name="dc_induse_risk">'DC_InputOutput_industrial'!$AE$25</definedName>
    <definedName name="dc_induse_risk_test">'DC_InputOutput_industrial'!$AE$37</definedName>
    <definedName name="dc_induse_tph">'DC_InputOutput_industrial'!$AE$23</definedName>
    <definedName name="dc_induse_tph_TEST">'DC_InputOutput_industrial'!$AE$35</definedName>
    <definedName name="dc_pah">'DC_InputOutput'!$T$51</definedName>
    <definedName name="dc_pah_ref">'MainForm'!$AF$64</definedName>
    <definedName name="dc_pah1">'DC_InputOutput'!$U$56</definedName>
    <definedName name="dc_pah1_1">'DC_InputOutput'!$U$37</definedName>
    <definedName name="dc_pah1_2">'DC_InputOutput'!$U$38</definedName>
    <definedName name="dc_pah1_3">'DC_InputOutput'!$U$39</definedName>
    <definedName name="dc_pah1_4">'DC_InputOutput'!$U$40</definedName>
    <definedName name="dc_pah1_5">'DC_InputOutput'!$U$41</definedName>
    <definedName name="dc_pah1_6">'DC_InputOutput'!$U$42</definedName>
    <definedName name="dc_pah1_7">'DC_InputOutput'!$U$43</definedName>
    <definedName name="dc_pah2">'DC_InputOutput'!$U$57</definedName>
    <definedName name="dc_pah3">'DC_InputOutput'!$U$58</definedName>
    <definedName name="dc_pah4">'DC_InputOutput'!$U$59</definedName>
    <definedName name="dc_pah5">'DC_InputOutput'!$U$60</definedName>
    <definedName name="dc_pah6">'DC_InputOutput'!$U$61</definedName>
    <definedName name="dc_pah7">'DC_InputOutput'!$U$62</definedName>
    <definedName name="dc_risk">'MainForm'!$AF$63</definedName>
    <definedName name="dc_risk_sum">'DC_InputOutput'!$U$44</definedName>
    <definedName name="DC_risk5">'DC_InputOutput'!$T$47</definedName>
    <definedName name="dc_risk6">'DC_InputOutput'!$T$50</definedName>
    <definedName name="DC_soil_CUL">'MainForm'!$AC$73</definedName>
    <definedName name="DC_soil_CUL_Criteria">'MainForm'!$AC$74</definedName>
    <definedName name="dc_ul_hi">'DC_InputOutput'!$AE$25</definedName>
    <definedName name="dc_ul_hi_test">'DC_InputOutput'!$AE$37</definedName>
    <definedName name="dc_ul_PF">'DC_InputOutput'!$AD$23</definedName>
    <definedName name="dc_ul_PF_test">'DC_InputOutput'!$AE$39</definedName>
    <definedName name="dc_ul_risk">'DC_InputOutput'!$AE$26</definedName>
    <definedName name="dc_ul_risk_test">'DC_InputOutput'!$AE$38</definedName>
    <definedName name="dc_ul_tph">'DC_InputOutput'!$AE$24</definedName>
    <definedName name="dc_ul_tph_test">'DC_InputOutput'!$AE$36</definedName>
    <definedName name="DCPAH">'MainForm'!#REF!</definedName>
    <definedName name="dcpah_result">'MainForm'!$AC$28</definedName>
    <definedName name="DCPAH_result_hi">'MainForm'!#REF!</definedName>
    <definedName name="DCPAH_result_risk">'MainForm'!#REF!</definedName>
    <definedName name="De" localSheetId="20">'[1]SOILMOD'!#REF!</definedName>
    <definedName name="De" localSheetId="12">'[1]SOILMOD'!#REF!</definedName>
    <definedName name="De" localSheetId="14">'[1]SOILMOD'!#REF!</definedName>
    <definedName name="De" localSheetId="16">'[1]SOILMOD'!#REF!</definedName>
    <definedName name="De" localSheetId="11">'[1]SOILMOD'!#REF!</definedName>
    <definedName name="De" localSheetId="6">'[1]SOILMOD'!#REF!</definedName>
    <definedName name="De" localSheetId="25">'[1]SOILMOD'!#REF!</definedName>
    <definedName name="density">'MainForm'!$G$49</definedName>
    <definedName name="Depth" localSheetId="20">'[1]SOILMOD'!#REF!</definedName>
    <definedName name="Depth" localSheetId="12">'[1]SOILMOD'!#REF!</definedName>
    <definedName name="Depth" localSheetId="14">'[1]SOILMOD'!#REF!</definedName>
    <definedName name="Depth" localSheetId="16">'[1]SOILMOD'!#REF!</definedName>
    <definedName name="Depth" localSheetId="11">'[1]SOILMOD'!#REF!</definedName>
    <definedName name="Depth" localSheetId="6">'[1]SOILMOD'!#REF!</definedName>
    <definedName name="Depth" localSheetId="25">'[1]SOILMOD'!#REF!</definedName>
    <definedName name="DF">'MainForm'!$G$51</definedName>
    <definedName name="dh2o" localSheetId="20">#REF!</definedName>
    <definedName name="dh2o" localSheetId="12">#REF!</definedName>
    <definedName name="dh2o" localSheetId="14">#REF!</definedName>
    <definedName name="dh2o" localSheetId="16">#REF!</definedName>
    <definedName name="dh2o" localSheetId="11">#REF!</definedName>
    <definedName name="dh2o" localSheetId="6">#REF!</definedName>
    <definedName name="dh2o" localSheetId="25">#REF!</definedName>
    <definedName name="DP" localSheetId="15">'DC_InputOutput'!#REF!</definedName>
    <definedName name="ED" localSheetId="18">'DC_InputOutput_industrial'!$B$55</definedName>
    <definedName name="ED">'DC_InputOutput'!$B$60</definedName>
    <definedName name="EF" localSheetId="18">'DC_InputOutput_industrial'!$B$54</definedName>
    <definedName name="EF">'DC_InputOutput'!$B$59</definedName>
    <definedName name="eq_mw">'InputOutput'!$U$31</definedName>
    <definedName name="eq_mw_1">'InputOutput'!$T$64</definedName>
    <definedName name="fit_Chemical_List">'Chemical List'!$A$1:$P$1</definedName>
    <definedName name="fit_DC_InputOutput">'DC_InputOutput'!$A$1:$AE$1</definedName>
    <definedName name="fit_DC_InputOutput_industrial">'DC_InputOutput_industrial'!$A$1:$AE$1</definedName>
    <definedName name="FIT_ec_dis">'EC Distribution Graph'!$A$1:$K$1</definedName>
    <definedName name="FIT_ec_mass">'EC_Mass Dist'!$A$1:$N$1</definedName>
    <definedName name="fit_GW_CLU">'GW_CLU'!$E$1:$AF$1</definedName>
    <definedName name="fit_InputOutput">'InputOutput'!$A$1:$V$1</definedName>
    <definedName name="fit_mainform">'MainForm'!$A$1:$V$1</definedName>
    <definedName name="fit_mass">'MassDistPhase'!$A$1:$L$1</definedName>
    <definedName name="fit_result">'MainForm'!$Y$1:$AJ$1</definedName>
    <definedName name="fit_Soil_vapor">'Soil_vapor'!$A$1:$S$1</definedName>
    <definedName name="Fit_study">'Study_graph'!$A$2:$O$2</definedName>
    <definedName name="foc" localSheetId="19">'Chemical List'!#REF!</definedName>
    <definedName name="foc">'Soil-to-GroundWater'!$F$7</definedName>
    <definedName name="GW_HI">'GW_CLU'!$AE$17</definedName>
    <definedName name="GW_HI_test">'GW_CLU'!$AE$41</definedName>
    <definedName name="GW_PF">'GW_CLU'!$AC$15</definedName>
    <definedName name="GW_PF_test">'GW_CLU'!$AE$43</definedName>
    <definedName name="gw_result">'MainForm'!$AH$13</definedName>
    <definedName name="gw_result_gw_TPH">'InputOutput'!$U$23</definedName>
    <definedName name="gw_result_gw_TPH_name">'InputOutput'!$T$23</definedName>
    <definedName name="gw_result_hi">'MainForm'!$AG$13</definedName>
    <definedName name="gw_result_his">'InputOutput'!$U$25</definedName>
    <definedName name="gw_result_PF">'InputOutput'!$T$21</definedName>
    <definedName name="gw_result_PF_name">'InputOutput'!$S$21</definedName>
    <definedName name="gw_result_risk">'MainForm'!$AF$13</definedName>
    <definedName name="gw_result_risks">'InputOutput'!$U$24</definedName>
    <definedName name="gw_result_SW">'MainForm'!$AH$14</definedName>
    <definedName name="gw_result_tph">'InputOutput'!$U$22</definedName>
    <definedName name="gw_result_tph_name">'InputOutput'!$T$22</definedName>
    <definedName name="GW_risk">'GW_CLU'!$AE$18</definedName>
    <definedName name="GW_risk_test">'GW_CLU'!$AE$42</definedName>
    <definedName name="GW_target_CUL">'MainForm'!$G$54</definedName>
    <definedName name="GW_TPH">'GW_CLU'!$AE$16</definedName>
    <definedName name="GW_TPH_test">'GW_CLU'!$AE$40</definedName>
    <definedName name="GWC_HQ">'GW_CLU'!$L$44</definedName>
    <definedName name="gwc_risk">'GW_CLU'!$N$44</definedName>
    <definedName name="GWCUL">'GW_CLU'!$S$44</definedName>
    <definedName name="gwcul_ans">'GW_CLU'!$T$72</definedName>
    <definedName name="gwcul_ans_criteria">'GW_CLU'!$T$73</definedName>
    <definedName name="gwcul_ans_hi">'GW_CLU'!$T$74</definedName>
    <definedName name="gwcul_ans_risk">'GW_CLU'!$T$75</definedName>
    <definedName name="gwcul_benzene">'GW_CLU'!$G$57</definedName>
    <definedName name="gwcul_benzene_hi">'GW_CLU'!$AF$28</definedName>
    <definedName name="gwcul_benzene_PF">'GW_CLU'!$AC$28</definedName>
    <definedName name="gwcul_benzene_ref">'GW_CLU'!$O$57</definedName>
    <definedName name="gwcul_benzene_risk">'GW_CLU'!$AE$28</definedName>
    <definedName name="gwcul_benzene_tph">'GW_CLU'!$AD$28</definedName>
    <definedName name="gwcul_ethl">'GW_CLU'!$G$62</definedName>
    <definedName name="gwcul_ethl__hi">'GW_CLU'!$AF$32</definedName>
    <definedName name="gwcul_ethl__pf">'GW_CLU'!$AC$32</definedName>
    <definedName name="gwcul_ethl_ref">'GW_CLU'!$O$62</definedName>
    <definedName name="gwcul_ethl_risk">'GW_CLU'!$AE$32</definedName>
    <definedName name="gwcul_ethl_tph">'GW_CLU'!$AD$32</definedName>
    <definedName name="gwcul_hi">'GW_CLU'!$G$54</definedName>
    <definedName name="gwcul_hi_HI">'GW_CLU'!$AF$25</definedName>
    <definedName name="gwcul_hi_PF">'GW_CLU'!$AC$25</definedName>
    <definedName name="gwcul_hi_ref">'GW_CLU'!$O$55</definedName>
    <definedName name="gwcul_hi_result">'GW_CLU'!$T$44</definedName>
    <definedName name="gwcul_hi_risk">'GW_CLU'!$AE$25</definedName>
    <definedName name="gwcul_hi_tph">'GW_CLU'!$AD$25</definedName>
    <definedName name="gwcul_mtbe">'GW_CLU'!$G$59</definedName>
    <definedName name="gwcul_mtbe__hi">'GW_CLU'!$AF$29</definedName>
    <definedName name="gwcul_mtbe__pf">'GW_CLU'!$AC$29</definedName>
    <definedName name="gwcul_mtbe_ref">'GW_CLU'!$O$59</definedName>
    <definedName name="gwcul_mtbe_risk">'GW_CLU'!$AE$29</definedName>
    <definedName name="gwcul_mtbe_tph">'GW_CLU'!$AD$29</definedName>
    <definedName name="gwcul_naphthalene">'GW_CLU'!$G$58</definedName>
    <definedName name="gwcul_naphthalene_hi">'GW_CLU'!#REF!</definedName>
    <definedName name="gwcul_naphthalene_pf">'GW_CLU'!#REF!</definedName>
    <definedName name="gwcul_naphthalene_ref">'GW_CLU'!$O$58</definedName>
    <definedName name="gwcul_naphthalene_risk">'GW_CLU'!#REF!</definedName>
    <definedName name="gwcul_naphthalene_tph">'GW_CLU'!#REF!</definedName>
    <definedName name="gwcul_pah">'GW_CLU'!$G$60</definedName>
    <definedName name="gwcul_pah__hi">'GW_CLU'!$AF$30</definedName>
    <definedName name="gwcul_pah__pf">'GW_CLU'!$AC$30</definedName>
    <definedName name="gwcul_pah_ref">'GW_CLU'!$O$60</definedName>
    <definedName name="gwcul_pah_risk">'GW_CLU'!$AE$30</definedName>
    <definedName name="gwcul_pah_tph">'GW_CLU'!$AD$30</definedName>
    <definedName name="GWcul_PF">'GW_CLU'!$W$51</definedName>
    <definedName name="GWcul_PF_1">'GW_CLU'!$W$52</definedName>
    <definedName name="gwcul_risk_ref">'GW_CLU'!$O$56</definedName>
    <definedName name="gwcul_risk_result">'GW_CLU'!$U$44</definedName>
    <definedName name="gwcul_risk5">'GW_CLU'!$G$55</definedName>
    <definedName name="gwcul_risk5_HI">'GW_CLU'!$AF$26</definedName>
    <definedName name="gwcul_risk5_pf">'GW_CLU'!$AC$26</definedName>
    <definedName name="gwcul_risk5_risk">'GW_CLU'!$AE$26</definedName>
    <definedName name="gwcul_risk5_tph">'GW_CLU'!$AD$26</definedName>
    <definedName name="gwcul_risk6">'GW_CLU'!$G$56</definedName>
    <definedName name="gwcul_risk6_hi">'GW_CLU'!$AF$27</definedName>
    <definedName name="gwcul_risk6_PF">'GW_CLU'!$AC$27</definedName>
    <definedName name="gwcul_risk6_risk">'GW_CLU'!$AE$27</definedName>
    <definedName name="gwcul_risk6_tph">'GW_CLU'!$AD$27</definedName>
    <definedName name="gwcul_risksum_PAH">'GW_CLU'!$U$54</definedName>
    <definedName name="gwcul_tol">'GW_CLU'!$G$61</definedName>
    <definedName name="gwcul_tol__hi">'GW_CLU'!$AF$31</definedName>
    <definedName name="gwcul_tol__pf">'GW_CLU'!$AC$31</definedName>
    <definedName name="gwcul_tol_ref">'GW_CLU'!$O$61</definedName>
    <definedName name="gwcul_tol_risk">'GW_CLU'!$AE$31</definedName>
    <definedName name="gwcul_tol_tph">'GW_CLU'!$AD$31</definedName>
    <definedName name="GWCUL_tph_final">'GW_CLU'!$AD$21</definedName>
    <definedName name="GWCUL_tph_final_criteria">'GW_CLU'!$AD$22</definedName>
    <definedName name="gwcul_xyl">'GW_CLU'!$G$63</definedName>
    <definedName name="gwcul_xyl__hi">'GW_CLU'!$AF$33</definedName>
    <definedName name="gwcul_xyl__pf">'GW_CLU'!$AC$33</definedName>
    <definedName name="gwcul_xyl_ref">'GW_CLU'!$O$63</definedName>
    <definedName name="gwcul_xyl_risk">'GW_CLU'!$AE$33</definedName>
    <definedName name="gwcul_xyl_tph">'GW_CLU'!$AD$33</definedName>
    <definedName name="gwpah">'GW_CLU'!$P$52</definedName>
    <definedName name="He" localSheetId="20">'[1]SOILMOD'!#REF!</definedName>
    <definedName name="He" localSheetId="12">'[1]SOILMOD'!#REF!</definedName>
    <definedName name="He" localSheetId="14">'[1]SOILMOD'!#REF!</definedName>
    <definedName name="He" localSheetId="16">'[1]SOILMOD'!#REF!</definedName>
    <definedName name="He" localSheetId="11">'[1]SOILMOD'!#REF!</definedName>
    <definedName name="He" localSheetId="6">'[1]SOILMOD'!#REF!</definedName>
    <definedName name="He" localSheetId="25">'[1]SOILMOD'!#REF!</definedName>
    <definedName name="HI_45000">'MainForm'!$AF$80</definedName>
    <definedName name="hi_45000_PF">'MainForm'!$AE$80</definedName>
    <definedName name="HI_air">'Soil-to-GroundWater'!$BD$51</definedName>
    <definedName name="HI_gw_sum">'InputOutput'!$F$42</definedName>
    <definedName name="HI_target">'MainForm'!$AG$40</definedName>
    <definedName name="hi_target_hi">'MainForm'!$AF$40</definedName>
    <definedName name="HI_target_PF">'MainForm'!$AC$40</definedName>
    <definedName name="hi_target_risk">'MainForm'!$AE$40</definedName>
    <definedName name="HI_target_TPH">'MainForm'!$AD$40</definedName>
    <definedName name="HQ">'Soil-to-GroundWater'!$AB$51</definedName>
    <definedName name="ini">'Soil-to-GroundWater'!$I$8</definedName>
    <definedName name="ini_density">'InputOutput'!$U$32</definedName>
    <definedName name="ini_density_1">'InputOutput'!$T$65</definedName>
    <definedName name="ini_mw">'InputOutput'!$U$30</definedName>
    <definedName name="ini_mw_1">'InputOutput'!$T$63</definedName>
    <definedName name="inival">'Soil-to-GroundWater'!$F$8</definedName>
    <definedName name="log_1">'MainForm'!$C$3</definedName>
    <definedName name="log_1_1">'MainForm'!$AC$3</definedName>
    <definedName name="log_2">'MainForm'!$C$4</definedName>
    <definedName name="log_2_2">'MainForm'!$AC$4</definedName>
    <definedName name="log3">'MainForm'!$C$5</definedName>
    <definedName name="log3_3">'MainForm'!$AC$5</definedName>
    <definedName name="Mo" localSheetId="20">'[1]SOILMOD'!#REF!</definedName>
    <definedName name="Mo" localSheetId="12">'[1]SOILMOD'!#REF!</definedName>
    <definedName name="Mo" localSheetId="14">'[1]SOILMOD'!#REF!</definedName>
    <definedName name="Mo" localSheetId="16">'[1]SOILMOD'!#REF!</definedName>
    <definedName name="Mo" localSheetId="11">'[1]SOILMOD'!#REF!</definedName>
    <definedName name="Mo" localSheetId="6">'[1]SOILMOD'!#REF!</definedName>
    <definedName name="Mo" localSheetId="25">'[1]SOILMOD'!#REF!</definedName>
    <definedName name="model">'InputOutput'!$T$28</definedName>
    <definedName name="model_1">'InputOutput'!$T$69</definedName>
    <definedName name="model_com">'InputOutput'!$T$29</definedName>
    <definedName name="model_com_1">'InputOutput'!$T$70</definedName>
    <definedName name="model_type">'Soil_vapor'!$Q$54</definedName>
    <definedName name="model_type_1">'Soil_vapor'!$Q$28</definedName>
    <definedName name="MTBE_45000">'MainForm'!$AF$85</definedName>
    <definedName name="mtbe_45000_PF">'MainForm'!$AE$85</definedName>
    <definedName name="mtbe_cul">'InputOutput'!$C$32</definedName>
    <definedName name="mtbe_pred_well">'InputOutput'!$E$32</definedName>
    <definedName name="mtbe_target">'MainForm'!$AG$45</definedName>
    <definedName name="mtbe_target_hi">'MainForm'!$AF$45</definedName>
    <definedName name="mtbe_target_PF">'MainForm'!$AC$45</definedName>
    <definedName name="mtbe_target_risk">'MainForm'!$AE$45</definedName>
    <definedName name="mtbe_target_tph">'MainForm'!$AD$45</definedName>
    <definedName name="MTBEC">'MainForm'!$G$33</definedName>
    <definedName name="naph_1">'Soil_vapor'!$C$30</definedName>
    <definedName name="naph_2">'Soil_vapor'!$C$31</definedName>
    <definedName name="naphthalene_45000">'MainForm'!$AF$84</definedName>
    <definedName name="naphthalene_45000_PF">'MainForm'!$AE$84</definedName>
    <definedName name="naphthalene_cul">'InputOutput'!$C$28</definedName>
    <definedName name="naphthalene_pred_well">'InputOutput'!$E$28</definedName>
    <definedName name="naphthalene_target">'MainForm'!#REF!</definedName>
    <definedName name="naphthalene_target_hi">'MainForm'!#REF!</definedName>
    <definedName name="naphthalene_target_pf">'MainForm'!#REF!</definedName>
    <definedName name="naphthalene_target_risk">'MainForm'!#REF!</definedName>
    <definedName name="naphthalene_target_tph">'MainForm'!#REF!</definedName>
    <definedName name="naphthaleneC">'MainForm'!$G$29</definedName>
    <definedName name="napl_100">'InputOutput'!$U$35</definedName>
    <definedName name="napl_100_1">'InputOutput'!$T$68</definedName>
    <definedName name="napl_content">'InputOutput'!$U$33</definedName>
    <definedName name="napl_content_1">'InputOutput'!$T$66</definedName>
    <definedName name="NAPL_max">'Soil-to-GroundWater'!$R$53</definedName>
    <definedName name="napl_max_paste">'MainForm'!$AA$46</definedName>
    <definedName name="napl_max_test">'MainForm'!$AI$103</definedName>
    <definedName name="napl_phase">'InputOutput'!$V$38</definedName>
    <definedName name="napl_phase_1">'InputOutput'!$V$73</definedName>
    <definedName name="napl_sat">'InputOutput'!$U$34</definedName>
    <definedName name="napl_sat_1">'InputOutput'!$T$67</definedName>
    <definedName name="Oa" localSheetId="20">'[1]SOILMOD'!#REF!</definedName>
    <definedName name="Oa" localSheetId="12">'[1]SOILMOD'!#REF!</definedName>
    <definedName name="Oa" localSheetId="14">'[1]SOILMOD'!#REF!</definedName>
    <definedName name="Oa" localSheetId="16">'[1]SOILMOD'!#REF!</definedName>
    <definedName name="Oa" localSheetId="11">'[1]SOILMOD'!#REF!</definedName>
    <definedName name="Oa" localSheetId="6">'[1]SOILMOD'!#REF!</definedName>
    <definedName name="Oa" localSheetId="25">'[1]SOILMOD'!#REF!</definedName>
    <definedName name="organicFr">'MainForm'!$G$50</definedName>
    <definedName name="original_dataset">'Soil-to-GroundWater'!$A$13:$B$46</definedName>
    <definedName name="Ow" localSheetId="20">'[1]SOILMOD'!#REF!</definedName>
    <definedName name="Ow" localSheetId="12">'[1]SOILMOD'!#REF!</definedName>
    <definedName name="Ow" localSheetId="14">'[1]SOILMOD'!#REF!</definedName>
    <definedName name="Ow" localSheetId="16">'[1]SOILMOD'!#REF!</definedName>
    <definedName name="Ow" localSheetId="11">'[1]SOILMOD'!#REF!</definedName>
    <definedName name="Ow" localSheetId="6">'[1]SOILMOD'!#REF!</definedName>
    <definedName name="Ow" localSheetId="25">'[1]SOILMOD'!#REF!</definedName>
    <definedName name="pah_45000">'MainForm'!$AF$86</definedName>
    <definedName name="pah_45000_pf">'MainForm'!$AE$86</definedName>
    <definedName name="pah_sum">'DC_InputOutput'!$T$54</definedName>
    <definedName name="pah_target">'MainForm'!$AG$43</definedName>
    <definedName name="pah_target_hi">'MainForm'!$AF$43</definedName>
    <definedName name="pah_target_pf">'MainForm'!$AC$43</definedName>
    <definedName name="pah_target_risk">'MainForm'!$AE$43</definedName>
    <definedName name="pah_target_tph">'MainForm'!$AD$43</definedName>
    <definedName name="pah1">'MainForm'!$AD$28</definedName>
    <definedName name="pah1_c">'MainForm'!$AE$28</definedName>
    <definedName name="pah1_nc">'MainForm'!$AF$28</definedName>
    <definedName name="pah2">'MainForm'!$AD$29</definedName>
    <definedName name="pah2_c">'MainForm'!$AE$29</definedName>
    <definedName name="pah2_nc">'MainForm'!$AF$29</definedName>
    <definedName name="pah3">'MainForm'!$AD$30</definedName>
    <definedName name="pah3_c">'MainForm'!$AE$30</definedName>
    <definedName name="pah3_nc">'MainForm'!$AF$30</definedName>
    <definedName name="park">'Soil-to-GroundWater'!$R$47</definedName>
    <definedName name="PF_45000">'MainForm'!$AE$79</definedName>
    <definedName name="PF_45000_1">'MainForm'!$AG$79</definedName>
    <definedName name="pf_dc">'MainForm'!$AE$97</definedName>
    <definedName name="pf_dc_ind">'MainForm'!$AE$98</definedName>
    <definedName name="pf_gw">'MainForm'!$AE$99</definedName>
    <definedName name="PF_GW_sum">'InputOutput'!$J$42</definedName>
    <definedName name="PF_overall">'InputOutput'!$K$61</definedName>
    <definedName name="PF_overall_1">'InputOutput'!$K$62</definedName>
    <definedName name="porosity">'MainForm'!$G$46</definedName>
    <definedName name="_xlnm.Print_Area" localSheetId="19">'Chemical List'!$A$1:$P$43</definedName>
    <definedName name="_xlnm.Print_Area" localSheetId="15">'DC_InputOutput'!$A$1:$AF$60</definedName>
    <definedName name="_xlnm.Print_Area" localSheetId="18">'DC_InputOutput_industrial'!$A$1:$AE$47</definedName>
    <definedName name="_xlnm.Print_Area" localSheetId="27">'EC Distribution Graph'!$A$1:$J$33</definedName>
    <definedName name="_xlnm.Print_Area" localSheetId="28">'EC_Mass Dist'!$A$1:$M$18</definedName>
    <definedName name="_xlnm.Print_Area" localSheetId="13">'GW_CLU'!$E$1:$AG$71</definedName>
    <definedName name="_xlnm.Print_Area" localSheetId="24">'Study_graph'!$A$2:$O$132</definedName>
    <definedName name="_xlnm.Print_Area" localSheetId="4">'Title'!$B$2:$H$19</definedName>
    <definedName name="prot_DC_B">'MainForm'!$AE$11</definedName>
    <definedName name="prot_DC_C">'MainForm'!$AE$12</definedName>
    <definedName name="prot_GW">'MainForm'!$AE$13</definedName>
    <definedName name="prot_SW">'MainForm'!$AE$14</definedName>
    <definedName name="Qa" localSheetId="19">'Chemical List'!#REF!</definedName>
    <definedName name="Qa">'Soil-to-GroundWater'!$F$6</definedName>
    <definedName name="result_benzene">'Soil-to-GroundWater'!$Z$28</definedName>
    <definedName name="result_HI">'Soil-to-GroundWater'!$AE$46</definedName>
    <definedName name="result_MTBE">'Soil-to-GroundWater'!$Z$36</definedName>
    <definedName name="result_Naphthalene">'Soil-to-GroundWater'!$Z$32</definedName>
    <definedName name="result_pah">'Soil-to-GroundWater'!$BV$48</definedName>
    <definedName name="result_PF">'InputOutput'!$K$59</definedName>
    <definedName name="result_raoult">'Soil-to-GroundWater'!$Q$46</definedName>
    <definedName name="result_risk">'Soil-to-GroundWater'!$BV$46</definedName>
    <definedName name="result_TPH">'Soil-to-GroundWater'!$Z$46</definedName>
    <definedName name="risk_45000">'MainForm'!$AF$81</definedName>
    <definedName name="risk_45000_pf">'MainForm'!$AE$81</definedName>
    <definedName name="risk_gw_sum">'InputOutput'!$G$42</definedName>
    <definedName name="risk5_target">'MainForm'!$AG$41</definedName>
    <definedName name="risk5_target_HI">'MainForm'!$AF$41</definedName>
    <definedName name="risk5_target_PF">'MainForm'!$AC$41</definedName>
    <definedName name="risk5_target_risk">'MainForm'!$AE$41</definedName>
    <definedName name="risk5_target_tph">'MainForm'!$AD$41</definedName>
    <definedName name="risk6_target">'MainForm'!$AG$42</definedName>
    <definedName name="risk6_target_hi">'MainForm'!$AF$42</definedName>
    <definedName name="risk6_target_pf">'MainForm'!$AC$42</definedName>
    <definedName name="risk6_target_risk">'MainForm'!$AE$42</definedName>
    <definedName name="risk6_target_tph">'MainForm'!$AD$42</definedName>
    <definedName name="SA" localSheetId="18">'DC_InputOutput_industrial'!$B$57</definedName>
    <definedName name="SA">'DC_InputOutput'!$B$62</definedName>
    <definedName name="sdc_il_1">'DC_InputOutput_industrial'!$AE$10</definedName>
    <definedName name="sdc_il_2">'DC_InputOutput_industrial'!$AE$11</definedName>
    <definedName name="sdc_il_3">'DC_InputOutput_industrial'!$AE$12</definedName>
    <definedName name="sdc_inl_hi">'MainForm'!$AG$12</definedName>
    <definedName name="sdc_inl_reslt">'MainForm'!$AH$12</definedName>
    <definedName name="sdc_inl_risk">'MainForm'!$AF$12</definedName>
    <definedName name="sdc_ul_1">'DC_InputOutput'!$AE$10</definedName>
    <definedName name="sdc_ul_2">'DC_InputOutput'!$AE$11</definedName>
    <definedName name="sdc_ul_3">'DC_InputOutput'!$AE$12</definedName>
    <definedName name="sdc_ul_HI">'MainForm'!$AG$11</definedName>
    <definedName name="sdc_ul_result">'MainForm'!$AH$11</definedName>
    <definedName name="sdc_ul_risk">'MainForm'!$AF$11</definedName>
    <definedName name="SIR" localSheetId="18">'DC_InputOutput_industrial'!$B$56</definedName>
    <definedName name="SIR">'DC_InputOutput'!$B$61</definedName>
    <definedName name="soil_exist">'MainForm'!$AD$6</definedName>
    <definedName name="soil_GW">'MainForm'!$AD$36</definedName>
    <definedName name="soil_GW_criteria">'MainForm'!$AD$34</definedName>
    <definedName name="soil_GW_criteria_1">'MainForm'!$AI$87</definedName>
    <definedName name="soil_GW_criteria_2">'MainForm'!$AI$88</definedName>
    <definedName name="soil_GW_CUL">'MainForm'!$AI$86</definedName>
    <definedName name="soil_GW_prot">'MainForm'!$AD$35</definedName>
    <definedName name="soilsum">'MainForm'!$G$43</definedName>
    <definedName name="solid_phase">'InputOutput'!$V$37</definedName>
    <definedName name="solid_phase_1">'InputOutput'!$V$72</definedName>
    <definedName name="solver_adj" localSheetId="19" hidden="1">'Chemical List'!#REF!,'Chemical List'!#REF!</definedName>
    <definedName name="solver_adj" localSheetId="21" hidden="1">'InputOutput'!$F$8,'InputOutput'!$F$6,'InputOutput'!$I$8</definedName>
    <definedName name="solver_adj" localSheetId="17" hidden="1">'MainForm'!$F$8,'MainForm'!$F$6</definedName>
    <definedName name="solver_adj" localSheetId="23" hidden="1">'Soil_vapor'!$F$8,'Soil_vapor'!$F$6</definedName>
    <definedName name="solver_adj" localSheetId="22" hidden="1">'Soil-to-GroundWater'!$F$8,'Soil-to-GroundWater'!$F$6</definedName>
    <definedName name="solver_cvg" localSheetId="19" hidden="1">0.001</definedName>
    <definedName name="solver_cvg" localSheetId="15" hidden="1">0.001</definedName>
    <definedName name="solver_cvg" localSheetId="18" hidden="1">0.001</definedName>
    <definedName name="solver_cvg" localSheetId="13" hidden="1">0.001</definedName>
    <definedName name="solver_cvg" localSheetId="21" hidden="1">0.0001</definedName>
    <definedName name="solver_cvg" localSheetId="17" hidden="1">0.001</definedName>
    <definedName name="solver_cvg" localSheetId="23" hidden="1">0.0001</definedName>
    <definedName name="solver_cvg" localSheetId="22" hidden="1">0.0001</definedName>
    <definedName name="solver_drv" localSheetId="19" hidden="1">1</definedName>
    <definedName name="solver_drv" localSheetId="15" hidden="1">1</definedName>
    <definedName name="solver_drv" localSheetId="18" hidden="1">1</definedName>
    <definedName name="solver_drv" localSheetId="13" hidden="1">1</definedName>
    <definedName name="solver_drv" localSheetId="21" hidden="1">1</definedName>
    <definedName name="solver_drv" localSheetId="17" hidden="1">1</definedName>
    <definedName name="solver_drv" localSheetId="23" hidden="1">1</definedName>
    <definedName name="solver_drv" localSheetId="22" hidden="1">1</definedName>
    <definedName name="solver_est" localSheetId="19" hidden="1">1</definedName>
    <definedName name="solver_est" localSheetId="15" hidden="1">1</definedName>
    <definedName name="solver_est" localSheetId="18" hidden="1">1</definedName>
    <definedName name="solver_est" localSheetId="13" hidden="1">1</definedName>
    <definedName name="solver_est" localSheetId="21" hidden="1">1</definedName>
    <definedName name="solver_est" localSheetId="17" hidden="1">1</definedName>
    <definedName name="solver_est" localSheetId="23" hidden="1">1</definedName>
    <definedName name="solver_est" localSheetId="22" hidden="1">1</definedName>
    <definedName name="solver_itr" localSheetId="19" hidden="1">100</definedName>
    <definedName name="solver_itr" localSheetId="15" hidden="1">100</definedName>
    <definedName name="solver_itr" localSheetId="18" hidden="1">100</definedName>
    <definedName name="solver_itr" localSheetId="13" hidden="1">100</definedName>
    <definedName name="solver_itr" localSheetId="21" hidden="1">300</definedName>
    <definedName name="solver_itr" localSheetId="17" hidden="1">1000</definedName>
    <definedName name="solver_itr" localSheetId="23" hidden="1">300</definedName>
    <definedName name="solver_itr" localSheetId="22" hidden="1">100</definedName>
    <definedName name="solver_lhs1" localSheetId="19" hidden="1">'Chemical List'!#REF!</definedName>
    <definedName name="solver_lhs1" localSheetId="21" hidden="1">'InputOutput'!$H$7</definedName>
    <definedName name="solver_lhs1" localSheetId="17" hidden="1">'MainForm'!$H$7</definedName>
    <definedName name="solver_lhs1" localSheetId="23" hidden="1">'Soil_vapor'!$H$7</definedName>
    <definedName name="solver_lhs1" localSheetId="22" hidden="1">'Soil-to-GroundWater'!$H$7</definedName>
    <definedName name="solver_lhs2" localSheetId="19" hidden="1">'Chemical List'!#REF!</definedName>
    <definedName name="solver_lhs2" localSheetId="21" hidden="1">'InputOutput'!$AB$49</definedName>
    <definedName name="solver_lhs2" localSheetId="22" hidden="1">'Soil-to-GroundWater'!$AB$52</definedName>
    <definedName name="solver_lhs3" localSheetId="19" hidden="1">'Chemical List'!#REF!</definedName>
    <definedName name="solver_lhs3" localSheetId="22" hidden="1">'Soil-to-GroundWater'!$H$7</definedName>
    <definedName name="solver_lin" localSheetId="19" hidden="1">2</definedName>
    <definedName name="solver_lin" localSheetId="15" hidden="1">2</definedName>
    <definedName name="solver_lin" localSheetId="18" hidden="1">2</definedName>
    <definedName name="solver_lin" localSheetId="13" hidden="1">2</definedName>
    <definedName name="solver_lin" localSheetId="21" hidden="1">2</definedName>
    <definedName name="solver_lin" localSheetId="17" hidden="1">2</definedName>
    <definedName name="solver_lin" localSheetId="23" hidden="1">2</definedName>
    <definedName name="solver_lin" localSheetId="22" hidden="1">2</definedName>
    <definedName name="solver_neg" localSheetId="19" hidden="1">2</definedName>
    <definedName name="solver_neg" localSheetId="15" hidden="1">2</definedName>
    <definedName name="solver_neg" localSheetId="18" hidden="1">2</definedName>
    <definedName name="solver_neg" localSheetId="13" hidden="1">2</definedName>
    <definedName name="solver_neg" localSheetId="21" hidden="1">2</definedName>
    <definedName name="solver_neg" localSheetId="17" hidden="1">2</definedName>
    <definedName name="solver_neg" localSheetId="23" hidden="1">2</definedName>
    <definedName name="solver_neg" localSheetId="22" hidden="1">2</definedName>
    <definedName name="solver_num" localSheetId="19" hidden="1">2</definedName>
    <definedName name="solver_num" localSheetId="15" hidden="1">0</definedName>
    <definedName name="solver_num" localSheetId="18" hidden="1">0</definedName>
    <definedName name="solver_num" localSheetId="13" hidden="1">0</definedName>
    <definedName name="solver_num" localSheetId="21" hidden="1">2</definedName>
    <definedName name="solver_num" localSheetId="17" hidden="1">1</definedName>
    <definedName name="solver_num" localSheetId="23" hidden="1">1</definedName>
    <definedName name="solver_num" localSheetId="22" hidden="1">1</definedName>
    <definedName name="solver_nwt" localSheetId="19" hidden="1">1</definedName>
    <definedName name="solver_nwt" localSheetId="15" hidden="1">1</definedName>
    <definedName name="solver_nwt" localSheetId="18" hidden="1">1</definedName>
    <definedName name="solver_nwt" localSheetId="13" hidden="1">1</definedName>
    <definedName name="solver_nwt" localSheetId="21" hidden="1">1</definedName>
    <definedName name="solver_nwt" localSheetId="17" hidden="1">1</definedName>
    <definedName name="solver_nwt" localSheetId="23" hidden="1">1</definedName>
    <definedName name="solver_nwt" localSheetId="22" hidden="1">1</definedName>
    <definedName name="solver_opt" localSheetId="19" hidden="1">'Chemical List'!#REF!</definedName>
    <definedName name="solver_opt" localSheetId="15" hidden="1">'DC_InputOutput'!#REF!</definedName>
    <definedName name="solver_opt" localSheetId="18" hidden="1">'DC_InputOutput_industrial'!#REF!</definedName>
    <definedName name="solver_opt" localSheetId="13" hidden="1">'GW_CLU'!#REF!</definedName>
    <definedName name="solver_opt" localSheetId="21" hidden="1">'InputOutput'!$R$44</definedName>
    <definedName name="solver_opt" localSheetId="17" hidden="1">'MainForm'!$R$42</definedName>
    <definedName name="solver_opt" localSheetId="23" hidden="1">'Soil_vapor'!$R$46</definedName>
    <definedName name="solver_opt" localSheetId="22" hidden="1">'Soil-to-GroundWater'!$R$47</definedName>
    <definedName name="solver_pre" localSheetId="19" hidden="1">0.001</definedName>
    <definedName name="solver_pre" localSheetId="15" hidden="1">0.00001</definedName>
    <definedName name="solver_pre" localSheetId="18" hidden="1">0.00001</definedName>
    <definedName name="solver_pre" localSheetId="13" hidden="1">0.00001</definedName>
    <definedName name="solver_pre" localSheetId="21" hidden="1">0.00001</definedName>
    <definedName name="solver_pre" localSheetId="17" hidden="1">0.000001</definedName>
    <definedName name="solver_pre" localSheetId="23" hidden="1">0.00001</definedName>
    <definedName name="solver_pre" localSheetId="22" hidden="1">0.0001</definedName>
    <definedName name="solver_rel1" localSheetId="19" hidden="1">2</definedName>
    <definedName name="solver_rel1" localSheetId="21" hidden="1">2</definedName>
    <definedName name="solver_rel1" localSheetId="17" hidden="1">2</definedName>
    <definedName name="solver_rel1" localSheetId="23" hidden="1">2</definedName>
    <definedName name="solver_rel1" localSheetId="22" hidden="1">2</definedName>
    <definedName name="solver_rel2" localSheetId="19" hidden="1">2</definedName>
    <definedName name="solver_rel2" localSheetId="21" hidden="1">2</definedName>
    <definedName name="solver_rel2" localSheetId="22" hidden="1">2</definedName>
    <definedName name="solver_rel3" localSheetId="19" hidden="1">2</definedName>
    <definedName name="solver_rel3" localSheetId="22" hidden="1">3</definedName>
    <definedName name="solver_rhs1" localSheetId="19" hidden="1">0</definedName>
    <definedName name="solver_rhs1" localSheetId="21" hidden="1">0</definedName>
    <definedName name="solver_rhs1" localSheetId="17" hidden="1">0</definedName>
    <definedName name="solver_rhs1" localSheetId="23" hidden="1">0</definedName>
    <definedName name="solver_rhs1" localSheetId="22" hidden="1">0</definedName>
    <definedName name="solver_rhs2" localSheetId="19" hidden="1">0</definedName>
    <definedName name="solver_rhs2" localSheetId="21" hidden="1">0</definedName>
    <definedName name="solver_rhs2" localSheetId="22" hidden="1">0</definedName>
    <definedName name="solver_rhs3" localSheetId="19" hidden="1">0</definedName>
    <definedName name="solver_rhs3" localSheetId="22" hidden="1">0</definedName>
    <definedName name="solver_scl" localSheetId="19" hidden="1">2</definedName>
    <definedName name="solver_scl" localSheetId="15" hidden="1">2</definedName>
    <definedName name="solver_scl" localSheetId="18" hidden="1">2</definedName>
    <definedName name="solver_scl" localSheetId="13" hidden="1">2</definedName>
    <definedName name="solver_scl" localSheetId="21" hidden="1">2</definedName>
    <definedName name="solver_scl" localSheetId="17" hidden="1">2</definedName>
    <definedName name="solver_scl" localSheetId="23" hidden="1">2</definedName>
    <definedName name="solver_scl" localSheetId="22" hidden="1">2</definedName>
    <definedName name="solver_sho" localSheetId="19" hidden="1">2</definedName>
    <definedName name="solver_sho" localSheetId="15" hidden="1">2</definedName>
    <definedName name="solver_sho" localSheetId="18" hidden="1">2</definedName>
    <definedName name="solver_sho" localSheetId="13" hidden="1">2</definedName>
    <definedName name="solver_sho" localSheetId="21" hidden="1">2</definedName>
    <definedName name="solver_sho" localSheetId="17" hidden="1">2</definedName>
    <definedName name="solver_sho" localSheetId="23" hidden="1">2</definedName>
    <definedName name="solver_sho" localSheetId="22" hidden="1">2</definedName>
    <definedName name="solver_tim" localSheetId="19" hidden="1">100</definedName>
    <definedName name="solver_tim" localSheetId="15" hidden="1">100</definedName>
    <definedName name="solver_tim" localSheetId="18" hidden="1">100</definedName>
    <definedName name="solver_tim" localSheetId="13" hidden="1">100</definedName>
    <definedName name="solver_tim" localSheetId="21" hidden="1">100</definedName>
    <definedName name="solver_tim" localSheetId="17" hidden="1">100</definedName>
    <definedName name="solver_tim" localSheetId="23" hidden="1">100</definedName>
    <definedName name="solver_tim" localSheetId="22" hidden="1">100</definedName>
    <definedName name="solver_tol" localSheetId="19" hidden="1">0.05</definedName>
    <definedName name="solver_tol" localSheetId="15" hidden="1">0.05</definedName>
    <definedName name="solver_tol" localSheetId="18" hidden="1">0.05</definedName>
    <definedName name="solver_tol" localSheetId="13" hidden="1">0.05</definedName>
    <definedName name="solver_tol" localSheetId="21" hidden="1">0.05</definedName>
    <definedName name="solver_tol" localSheetId="17" hidden="1">0.05</definedName>
    <definedName name="solver_tol" localSheetId="23" hidden="1">0.05</definedName>
    <definedName name="solver_tol" localSheetId="22" hidden="1">0.05</definedName>
    <definedName name="solver_typ" localSheetId="19" hidden="1">3</definedName>
    <definedName name="solver_typ" localSheetId="15" hidden="1">1</definedName>
    <definedName name="solver_typ" localSheetId="18" hidden="1">1</definedName>
    <definedName name="solver_typ" localSheetId="13" hidden="1">1</definedName>
    <definedName name="solver_typ" localSheetId="21" hidden="1">3</definedName>
    <definedName name="solver_typ" localSheetId="17" hidden="1">3</definedName>
    <definedName name="solver_typ" localSheetId="23" hidden="1">3</definedName>
    <definedName name="solver_typ" localSheetId="22" hidden="1">3</definedName>
    <definedName name="solver_val" localSheetId="19" hidden="1">0</definedName>
    <definedName name="solver_val" localSheetId="15" hidden="1">0</definedName>
    <definedName name="solver_val" localSheetId="18" hidden="1">0</definedName>
    <definedName name="solver_val" localSheetId="13" hidden="1">0</definedName>
    <definedName name="solver_val" localSheetId="21" hidden="1">0</definedName>
    <definedName name="solver_val" localSheetId="17" hidden="1">0</definedName>
    <definedName name="solver_val" localSheetId="23" hidden="1">0</definedName>
    <definedName name="solver_val" localSheetId="22" hidden="1">0</definedName>
    <definedName name="study_air_content">'Study_graph'!$B$9</definedName>
    <definedName name="Study_array_conc">'Study_graph'!$B$157:$B$185</definedName>
    <definedName name="study_dataset">'Study_graph'!$N$11</definedName>
    <definedName name="study_dataset_end">'Study_graph'!$O$44</definedName>
    <definedName name="study_date">'Study_graph'!$B$3</definedName>
    <definedName name="study_density">'Study_graph'!$D$8</definedName>
    <definedName name="study_DF">'Study_graph'!$D$7</definedName>
    <definedName name="study_df_calc">'Study_graph'!$B$204</definedName>
    <definedName name="study_foc">'Study_graph'!$D$9</definedName>
    <definedName name="study_increment">'Study_graph'!$B$146</definedName>
    <definedName name="study_max">'Study_graph'!$B$144</definedName>
    <definedName name="STUDY_min">'Study_graph'!$B$143</definedName>
    <definedName name="study_porosity">'Study_graph'!$B$7</definedName>
    <definedName name="study_raoults_calc">'Study_graph'!$B$205</definedName>
    <definedName name="study_samplename">'Study_graph'!$B$5</definedName>
    <definedName name="study_sitename">'Study_graph'!$B$4</definedName>
    <definedName name="study_start">'Study_graph'!$B$156</definedName>
    <definedName name="study_start_chemical">'Study_graph'!$A$157</definedName>
    <definedName name="study_step">'Study_graph'!$B$145</definedName>
    <definedName name="study_water_content">'Study_graph'!$B$8</definedName>
    <definedName name="sum_carcino">'InputOutput'!$B$57</definedName>
    <definedName name="target">'Soil-to-GroundWater'!$I$8</definedName>
    <definedName name="target_GW_CUL">'Soil-to-GroundWater'!$AB$52</definedName>
    <definedName name="target_mtbe">'Soil-to-GroundWater'!$AB$57</definedName>
    <definedName name="target_Naphthalene">'Soil-to-GroundWater'!$AB$56</definedName>
    <definedName name="target_pah">'Soil-to-GroundWater'!$AB$58</definedName>
    <definedName name="temp">'Soil-to-GroundWater'!$CB$8</definedName>
    <definedName name="title_fit">'Title'!$A$2:$I$2</definedName>
    <definedName name="title_home">'Title'!$A$1</definedName>
    <definedName name="TPH_45000">'MainForm'!$AF$88</definedName>
    <definedName name="tph_45000_PF">'MainForm'!$AE$88</definedName>
    <definedName name="tph_gw_sum">'InputOutput'!$E$42</definedName>
    <definedName name="TPH_RISK">'Soil-to-GroundWater'!$AB$54</definedName>
    <definedName name="tph_soil_sum_adjusted">'InputOutput'!$D$42</definedName>
    <definedName name="tph_target">'MainForm'!$AF$50</definedName>
    <definedName name="tph_target_hi">'MainForm'!$AE$50</definedName>
    <definedName name="tph_target_risk">'MainForm'!$AD$50</definedName>
    <definedName name="tph_target_tph">'MainForm'!$AC$50</definedName>
    <definedName name="TPHRISK6">'Soil-to-GroundWater'!$AB$55</definedName>
    <definedName name="VAF">'Soil_vapor'!$R$7</definedName>
    <definedName name="vap1">'Soil_vapor'!$C$13</definedName>
    <definedName name="vap10">'Soil_vapor'!$C$22</definedName>
    <definedName name="vap11">'Soil_vapor'!$C$23</definedName>
    <definedName name="vap12">'Soil_vapor'!$C$24</definedName>
    <definedName name="vap13">'Soil_vapor'!$C$25</definedName>
    <definedName name="vap14">'Soil_vapor'!$C$26</definedName>
    <definedName name="vap15">'Soil_vapor'!$C$27</definedName>
    <definedName name="vap16">'Soil_vapor'!$C$28</definedName>
    <definedName name="vap17">'Soil_vapor'!$C$29</definedName>
    <definedName name="vap18">'Soil_vapor'!$C$32</definedName>
    <definedName name="vap19">'Soil_vapor'!$C$33</definedName>
    <definedName name="vap2">'Soil_vapor'!$C$14</definedName>
    <definedName name="vap20">'Soil_vapor'!$C$34</definedName>
    <definedName name="vap21">'Soil_vapor'!$C$35</definedName>
    <definedName name="vap22">'Soil_vapor'!$C$36</definedName>
    <definedName name="vap23">'Soil_vapor'!$C$37</definedName>
    <definedName name="vap24">'Soil_vapor'!$C$38</definedName>
    <definedName name="vap25">'Soil_vapor'!$C$39</definedName>
    <definedName name="vap26">'Soil_vapor'!$C$40</definedName>
    <definedName name="vap27">'Soil_vapor'!$C$41</definedName>
    <definedName name="vap28">'Soil_vapor'!$C$42</definedName>
    <definedName name="vap29">'Soil_vapor'!$C$43</definedName>
    <definedName name="vap3">'Soil_vapor'!$C$15</definedName>
    <definedName name="vap4">'Soil_vapor'!$C$16</definedName>
    <definedName name="vap5">'Soil_vapor'!$C$17</definedName>
    <definedName name="vap6">'Soil_vapor'!$C$18</definedName>
    <definedName name="vap7">'Soil_vapor'!$C$19</definedName>
    <definedName name="vap8">'Soil_vapor'!$C$20</definedName>
    <definedName name="vap9">'Soil_vapor'!$C$21</definedName>
    <definedName name="vapor">'MainForm'!#REF!</definedName>
    <definedName name="vapor_air">'Soil_vapor'!$Q$51</definedName>
    <definedName name="vapor_air_1">'Soil_vapor'!$Q$25</definedName>
    <definedName name="vapor_result">'MainForm'!$V$17</definedName>
    <definedName name="vapor_result_1">'Soil_vapor'!$Q$52</definedName>
    <definedName name="vapor_result_1_1">'Soil_vapor'!$Q$26</definedName>
    <definedName name="vapor_result_2">'Soil_vapor'!$Q$53</definedName>
    <definedName name="vapor_result_2_1">'Soil_vapor'!$Q$27</definedName>
    <definedName name="vapor_result_3">'Soil_vapor'!$Q$49</definedName>
    <definedName name="vapor_result_3_1">'Soil_vapor'!$Q$23</definedName>
    <definedName name="vapor_result_hi">'MainForm'!$W$17</definedName>
    <definedName name="vapor_result_risk">'MainForm'!#REF!</definedName>
    <definedName name="vapor_tph_soil">'Soil_vapor'!$Q$50</definedName>
    <definedName name="vapor_tph_soil_1">'Soil_vapor'!$Q$24</definedName>
    <definedName name="water_content">'MainForm'!$G$47</definedName>
    <definedName name="water_phase">'InputOutput'!$T$37</definedName>
    <definedName name="water_phase_1">'InputOutput'!$T$72</definedName>
  </definedNames>
  <calcPr fullCalcOnLoad="1"/>
</workbook>
</file>

<file path=xl/comments14.xml><?xml version="1.0" encoding="utf-8"?>
<comments xmlns="http://schemas.openxmlformats.org/spreadsheetml/2006/main">
  <authors>
    <author>Hun Seak Park</author>
  </authors>
  <commentList>
    <comment ref="V9" authorId="0">
      <text>
        <r>
          <rPr>
            <b/>
            <sz val="10"/>
            <rFont val="Tahoma"/>
            <family val="2"/>
          </rPr>
          <t>Note: Check the column below for "Fail" detail.  If passed, no sign showed.</t>
        </r>
      </text>
    </comment>
    <comment ref="O9" authorId="0">
      <text>
        <r>
          <rPr>
            <b/>
            <sz val="10"/>
            <rFont val="Tahoma"/>
            <family val="2"/>
          </rPr>
          <t>Note: Check the column below for "Fail" detail.  If passed, no sign showed.</t>
        </r>
      </text>
    </comment>
  </commentList>
</comments>
</file>

<file path=xl/comments16.xml><?xml version="1.0" encoding="utf-8"?>
<comments xmlns="http://schemas.openxmlformats.org/spreadsheetml/2006/main">
  <authors>
    <author>Hun Seak Park</author>
  </authors>
  <commentList>
    <comment ref="V9" authorId="0">
      <text>
        <r>
          <rPr>
            <b/>
            <sz val="8"/>
            <rFont val="Tahoma"/>
            <family val="2"/>
          </rPr>
          <t>Note: Check the column below for "Fail" detail.  If passed, no sign showed.</t>
        </r>
      </text>
    </comment>
    <comment ref="P9" authorId="0">
      <text>
        <r>
          <rPr>
            <b/>
            <sz val="8"/>
            <rFont val="Tahoma"/>
            <family val="2"/>
          </rPr>
          <t>Note: Check the columns below for "Fail" detail.  If passed, no sign showed.</t>
        </r>
      </text>
    </comment>
  </commentList>
</comments>
</file>

<file path=xl/comments18.xml><?xml version="1.0" encoding="utf-8"?>
<comments xmlns="http://schemas.openxmlformats.org/spreadsheetml/2006/main">
  <authors>
    <author>Ecology</author>
    <author>Hun Seak PARK</author>
  </authors>
  <commentList>
    <comment ref="G46" authorId="0">
      <text>
        <r>
          <rPr>
            <b/>
            <sz val="8"/>
            <rFont val="Tahoma"/>
            <family val="2"/>
          </rPr>
          <t>Ecology:</t>
        </r>
        <r>
          <rPr>
            <sz val="8"/>
            <rFont val="Tahoma"/>
            <family val="2"/>
          </rPr>
          <t xml:space="preserve">
default is 0.43.</t>
        </r>
      </text>
    </comment>
    <comment ref="G47" authorId="0">
      <text>
        <r>
          <rPr>
            <b/>
            <sz val="8"/>
            <rFont val="Tahoma"/>
            <family val="2"/>
          </rPr>
          <t>Ecology:</t>
        </r>
        <r>
          <rPr>
            <sz val="8"/>
            <rFont val="Tahoma"/>
            <family val="2"/>
          </rPr>
          <t xml:space="preserve">
default is 0.3.</t>
        </r>
      </text>
    </comment>
    <comment ref="G48" authorId="0">
      <text>
        <r>
          <rPr>
            <b/>
            <sz val="8"/>
            <rFont val="Tahoma"/>
            <family val="2"/>
          </rPr>
          <t>Ecology:</t>
        </r>
        <r>
          <rPr>
            <sz val="8"/>
            <rFont val="Tahoma"/>
            <family val="2"/>
          </rPr>
          <t xml:space="preserve">
default is 0.13.</t>
        </r>
      </text>
    </comment>
    <comment ref="G49" authorId="0">
      <text>
        <r>
          <rPr>
            <b/>
            <sz val="8"/>
            <rFont val="Tahoma"/>
            <family val="2"/>
          </rPr>
          <t>Ecology:</t>
        </r>
        <r>
          <rPr>
            <sz val="8"/>
            <rFont val="Tahoma"/>
            <family val="2"/>
          </rPr>
          <t xml:space="preserve">
default is 1.5 kg/L.</t>
        </r>
      </text>
    </comment>
    <comment ref="G50" authorId="0">
      <text>
        <r>
          <rPr>
            <b/>
            <sz val="8"/>
            <rFont val="Tahoma"/>
            <family val="2"/>
          </rPr>
          <t>Ecology:</t>
        </r>
        <r>
          <rPr>
            <sz val="8"/>
            <rFont val="Tahoma"/>
            <family val="2"/>
          </rPr>
          <t xml:space="preserve">
default is 0.001.</t>
        </r>
      </text>
    </comment>
    <comment ref="G51" authorId="0">
      <text>
        <r>
          <rPr>
            <b/>
            <sz val="8"/>
            <rFont val="Tahoma"/>
            <family val="2"/>
          </rPr>
          <t>Ecology:</t>
        </r>
        <r>
          <rPr>
            <sz val="8"/>
            <rFont val="Tahoma"/>
            <family val="2"/>
          </rPr>
          <t xml:space="preserve">
default is 20.</t>
        </r>
      </text>
    </comment>
    <comment ref="B30" authorId="1">
      <text>
        <r>
          <rPr>
            <sz val="8"/>
            <rFont val="Tahoma"/>
            <family val="2"/>
          </rPr>
          <t xml:space="preserve">Refer to Section 3.4 of the User's Guide for more details on analytical issue.
</t>
        </r>
      </text>
    </comment>
  </commentList>
</comments>
</file>

<file path=xl/comments19.xml><?xml version="1.0" encoding="utf-8"?>
<comments xmlns="http://schemas.openxmlformats.org/spreadsheetml/2006/main">
  <authors>
    <author>Hun Seak Park</author>
  </authors>
  <commentList>
    <comment ref="P9" authorId="0">
      <text>
        <r>
          <rPr>
            <b/>
            <sz val="8"/>
            <rFont val="Tahoma"/>
            <family val="2"/>
          </rPr>
          <t>Note: Check the column below for "Fail" detail.  If passed, no sign showed.</t>
        </r>
      </text>
    </comment>
    <comment ref="V9" authorId="0">
      <text>
        <r>
          <rPr>
            <b/>
            <sz val="8"/>
            <rFont val="Tahoma"/>
            <family val="2"/>
          </rPr>
          <t>Note: Check the columns below for "Fail" detail.  If passed, no sign showed.</t>
        </r>
      </text>
    </comment>
  </commentList>
</comments>
</file>

<file path=xl/comments20.xml><?xml version="1.0" encoding="utf-8"?>
<comments xmlns="http://schemas.openxmlformats.org/spreadsheetml/2006/main">
  <authors>
    <author>Hun Seak Park</author>
    <author>Ecology</author>
    <author>State of Washington</author>
    <author>Hun Seak PARK</author>
  </authors>
  <commentList>
    <comment ref="D3" authorId="0">
      <text>
        <r>
          <rPr>
            <b/>
            <sz val="8"/>
            <rFont val="Tahoma"/>
            <family val="2"/>
          </rPr>
          <t>click here to link the most current LARC</t>
        </r>
      </text>
    </comment>
    <comment ref="F27" authorId="1">
      <text>
        <r>
          <rPr>
            <b/>
            <sz val="8"/>
            <rFont val="Tahoma"/>
            <family val="2"/>
          </rPr>
          <t>Ecology:</t>
        </r>
        <r>
          <rPr>
            <sz val="8"/>
            <rFont val="Tahoma"/>
            <family val="2"/>
          </rPr>
          <t xml:space="preserve">
ORNL, 10/11/2005</t>
        </r>
      </text>
    </comment>
    <comment ref="F28" authorId="1">
      <text>
        <r>
          <rPr>
            <b/>
            <sz val="8"/>
            <rFont val="Tahoma"/>
            <family val="2"/>
          </rPr>
          <t>Ecology:</t>
        </r>
        <r>
          <rPr>
            <sz val="8"/>
            <rFont val="Tahoma"/>
            <family val="2"/>
          </rPr>
          <t xml:space="preserve">
ORNL, 10/11/2005</t>
        </r>
      </text>
    </comment>
    <comment ref="E27" authorId="1">
      <text>
        <r>
          <rPr>
            <b/>
            <sz val="8"/>
            <rFont val="Tahoma"/>
            <family val="2"/>
          </rPr>
          <t>Ecology:</t>
        </r>
        <r>
          <rPr>
            <sz val="8"/>
            <rFont val="Tahoma"/>
            <family val="2"/>
          </rPr>
          <t xml:space="preserve">
ORNL, 10/11/2005</t>
        </r>
      </text>
    </comment>
    <comment ref="E28" authorId="1">
      <text>
        <r>
          <rPr>
            <b/>
            <sz val="8"/>
            <rFont val="Tahoma"/>
            <family val="2"/>
          </rPr>
          <t>Ecology:</t>
        </r>
        <r>
          <rPr>
            <sz val="8"/>
            <rFont val="Tahoma"/>
            <family val="2"/>
          </rPr>
          <t xml:space="preserve">
ORNL, 10/11/2005</t>
        </r>
      </text>
    </comment>
    <comment ref="G27" authorId="1">
      <text>
        <r>
          <rPr>
            <b/>
            <sz val="8"/>
            <rFont val="Tahoma"/>
            <family val="2"/>
          </rPr>
          <t>Ecology:</t>
        </r>
        <r>
          <rPr>
            <sz val="8"/>
            <rFont val="Tahoma"/>
            <family val="2"/>
          </rPr>
          <t xml:space="preserve">
ORNL, 10/11/2005</t>
        </r>
      </text>
    </comment>
    <comment ref="G28" authorId="1">
      <text>
        <r>
          <rPr>
            <b/>
            <sz val="8"/>
            <rFont val="Tahoma"/>
            <family val="2"/>
          </rPr>
          <t>Ecology:</t>
        </r>
        <r>
          <rPr>
            <sz val="8"/>
            <rFont val="Tahoma"/>
            <family val="2"/>
          </rPr>
          <t xml:space="preserve">
ORNL, 10/11/2005</t>
        </r>
      </text>
    </comment>
    <comment ref="M27" authorId="1">
      <text>
        <r>
          <rPr>
            <b/>
            <sz val="8"/>
            <rFont val="Tahoma"/>
            <family val="2"/>
          </rPr>
          <t>Ecology:</t>
        </r>
        <r>
          <rPr>
            <sz val="8"/>
            <rFont val="Tahoma"/>
            <family val="2"/>
          </rPr>
          <t xml:space="preserve">
ORNL,  711/2006</t>
        </r>
      </text>
    </comment>
    <comment ref="M28" authorId="1">
      <text>
        <r>
          <rPr>
            <b/>
            <sz val="8"/>
            <rFont val="Tahoma"/>
            <family val="2"/>
          </rPr>
          <t>Ecology:</t>
        </r>
        <r>
          <rPr>
            <sz val="8"/>
            <rFont val="Tahoma"/>
            <family val="2"/>
          </rPr>
          <t xml:space="preserve">
ORNL,  711/2006</t>
        </r>
      </text>
    </comment>
    <comment ref="I10" authorId="1">
      <text>
        <r>
          <rPr>
            <sz val="10"/>
            <rFont val="Times New Roman"/>
            <family val="1"/>
          </rPr>
          <t xml:space="preserve">Revised January 2006.  Refer to the memo of petroleum data under CLARC at ECY web page.  </t>
        </r>
        <r>
          <rPr>
            <u val="single"/>
            <sz val="10"/>
            <rFont val="Times New Roman"/>
            <family val="1"/>
          </rPr>
          <t>https://fortress.wa.gov/ecy/clarc/CLARCHome.aspx</t>
        </r>
      </text>
    </comment>
    <comment ref="K14" authorId="1">
      <text>
        <r>
          <rPr>
            <b/>
            <sz val="8"/>
            <rFont val="Tahoma"/>
            <family val="2"/>
          </rPr>
          <t>Ecology:</t>
        </r>
        <r>
          <rPr>
            <sz val="8"/>
            <rFont val="Tahoma"/>
            <family val="2"/>
          </rPr>
          <t xml:space="preserve">
0.085 is recommended, but not used for calculation.  Refer to Ecology Memo 11/10/2004.</t>
        </r>
      </text>
    </comment>
    <comment ref="K17" authorId="1">
      <text>
        <r>
          <rPr>
            <b/>
            <sz val="8"/>
            <rFont val="Tahoma"/>
            <family val="2"/>
          </rPr>
          <t>Revised January 2006.  Refer to the memo of petroleum data under CLARC at ECY web page.  https://fortress.wa.gov/ecy/clarc/CLARCHome.aspx</t>
        </r>
      </text>
    </comment>
    <comment ref="K18" authorId="1">
      <text>
        <r>
          <rPr>
            <b/>
            <sz val="8"/>
            <rFont val="Tahoma"/>
            <family val="2"/>
          </rPr>
          <t>Revised January 2006.  Refer to the memo of petroleum data under CLARC at ECY web page.  https://fortress.wa.gov/ecy/clarc/CLARCHome.aspx</t>
        </r>
      </text>
    </comment>
    <comment ref="K19" authorId="1">
      <text>
        <r>
          <rPr>
            <b/>
            <sz val="8"/>
            <rFont val="Tahoma"/>
            <family val="2"/>
          </rPr>
          <t>Ecology:</t>
        </r>
        <r>
          <rPr>
            <sz val="8"/>
            <rFont val="Tahoma"/>
            <family val="2"/>
          </rPr>
          <t xml:space="preserve">
0.05 is recommended, but not used for calculation.  Refer to Ecology Memo 11/10/2004.</t>
        </r>
      </text>
    </comment>
    <comment ref="H27" authorId="1">
      <text>
        <r>
          <rPr>
            <b/>
            <sz val="8"/>
            <rFont val="Tahoma"/>
            <family val="2"/>
          </rPr>
          <t>Ecology:</t>
        </r>
        <r>
          <rPr>
            <sz val="8"/>
            <rFont val="Tahoma"/>
            <family val="2"/>
          </rPr>
          <t xml:space="preserve">
Verschueren, K. handbook of Environmental Data on organic chemicals, volume 1-2, 4th ed., John Wiley &amp; sons, Newyork, NY,  2001, p.42 V2  1513</t>
        </r>
      </text>
    </comment>
    <comment ref="H28" authorId="1">
      <text>
        <r>
          <rPr>
            <b/>
            <sz val="8"/>
            <rFont val="Tahoma"/>
            <family val="2"/>
          </rPr>
          <t>Ecology:</t>
        </r>
        <r>
          <rPr>
            <sz val="8"/>
            <rFont val="Tahoma"/>
            <family val="2"/>
          </rPr>
          <t xml:space="preserve">
Verschueren, K. handbook of Environmental Data on organic chemicals, volume 1-2, 4th ed., John Wiley &amp; sons, Newyork, NY,  2001, p.42 V2  1515</t>
        </r>
      </text>
    </comment>
    <comment ref="I11" authorId="2">
      <text>
        <r>
          <rPr>
            <sz val="10"/>
            <rFont val="Times New Roman"/>
            <family val="1"/>
          </rPr>
          <t xml:space="preserve">Revised January 2006.  Refer to the memo of petroleum data under CLARC at ECY web page.  </t>
        </r>
        <r>
          <rPr>
            <u val="single"/>
            <sz val="10"/>
            <rFont val="Times New Roman"/>
            <family val="1"/>
          </rPr>
          <t>https://fortress.wa.gov/ecy/clarc/CLARCHome.aspx</t>
        </r>
      </text>
    </comment>
    <comment ref="I17" authorId="2">
      <text>
        <r>
          <rPr>
            <b/>
            <sz val="8"/>
            <rFont val="Tahoma"/>
            <family val="2"/>
          </rPr>
          <t>Revised January 2006.  Refer to the memo of petroleum data under CLARC at ECY web page.  https://fortress.wa.gov/ecy/clarc/CLARCHome.aspx</t>
        </r>
      </text>
    </comment>
    <comment ref="I18" authorId="2">
      <text>
        <r>
          <rPr>
            <b/>
            <sz val="8"/>
            <rFont val="Tahoma"/>
            <family val="2"/>
          </rPr>
          <t>Revised January 2006.  Refer to the memo of petroleum data under CLARC at ECY web page.  https://fortress.wa.gov/ecy/clarc/CLARCHome.aspx</t>
        </r>
      </text>
    </comment>
    <comment ref="I21" authorId="2">
      <text>
        <r>
          <rPr>
            <b/>
            <sz val="8"/>
            <rFont val="Tahoma"/>
            <family val="2"/>
          </rPr>
          <t>State of Washington:</t>
        </r>
        <r>
          <rPr>
            <sz val="8"/>
            <rFont val="Tahoma"/>
            <family val="2"/>
          </rPr>
          <t xml:space="preserve">
</t>
        </r>
      </text>
    </comment>
    <comment ref="I22" authorId="2">
      <text>
        <r>
          <rPr>
            <b/>
            <sz val="8"/>
            <rFont val="Tahoma"/>
            <family val="2"/>
          </rPr>
          <t>Revised January 2006.  Refer to the memo of petroleum data under CLARC at ECY web page.  https://fortress.wa.gov/ecy/clarc/CLARCHome.aspx</t>
        </r>
      </text>
    </comment>
    <comment ref="I23" authorId="2">
      <text>
        <r>
          <rPr>
            <b/>
            <sz val="8"/>
            <rFont val="Tahoma"/>
            <family val="2"/>
          </rPr>
          <t>Revised January 2006.  Refer to the memo of petroleum data under CLARC at ECY web page.  https://fortress.wa.gov/ecy/clarc/CLARCHome.aspx</t>
        </r>
      </text>
    </comment>
    <comment ref="I25" authorId="2">
      <text>
        <r>
          <rPr>
            <b/>
            <sz val="8"/>
            <rFont val="Tahoma"/>
            <family val="2"/>
          </rPr>
          <t>Revised January 2006.  Refer to the memo of petroleum data under CLARC at ECY web page.  https://fortress.wa.gov/ecy/clarc/CLARCHome.aspx</t>
        </r>
      </text>
    </comment>
    <comment ref="I27" authorId="2">
      <text>
        <r>
          <rPr>
            <b/>
            <sz val="8"/>
            <rFont val="Tahoma"/>
            <family val="2"/>
          </rPr>
          <t>Revised January 2006.  Refer to the memo of petroleum data under CLARC at ECY web page.  https://fortress.wa.gov/ecy/clarc/CLARCHome.aspx</t>
        </r>
      </text>
    </comment>
    <comment ref="I28" authorId="2">
      <text>
        <r>
          <rPr>
            <b/>
            <sz val="8"/>
            <rFont val="Tahoma"/>
            <family val="2"/>
          </rPr>
          <t>Revised January 2006.  Refer to the memo of petroleum data under CLARC at ECY web page.  https://fortress.wa.gov/ecy/clarc/CLARCHome.aspx</t>
        </r>
      </text>
    </comment>
    <comment ref="I34" authorId="2">
      <text>
        <r>
          <rPr>
            <b/>
            <sz val="8"/>
            <rFont val="Tahoma"/>
            <family val="2"/>
          </rPr>
          <t>Revised January 2006.  Refer to the memo of petroleum data under CLARC at ECY web page.  https://fortress.wa.gov/ecy/clarc/CLARCHome.aspx</t>
        </r>
      </text>
    </comment>
    <comment ref="K10" authorId="2">
      <text>
        <r>
          <rPr>
            <b/>
            <sz val="8"/>
            <rFont val="Tahoma"/>
            <family val="2"/>
          </rPr>
          <t>Revised January 2006.  Refer to the memo of petroleum data under CLARC at ECY web page.  https://fortress.wa.gov/ecy/clarc/CLARCHome.aspx</t>
        </r>
      </text>
    </comment>
    <comment ref="K11" authorId="2">
      <text>
        <r>
          <rPr>
            <b/>
            <sz val="8"/>
            <rFont val="Tahoma"/>
            <family val="2"/>
          </rPr>
          <t>Revised January 2006.  Refer to the memo of petroleum data under CLARC at ECY web page.  https://fortress.wa.gov/ecy/clarc/CLARCHome.aspx</t>
        </r>
      </text>
    </comment>
    <comment ref="K22" authorId="2">
      <text>
        <r>
          <rPr>
            <b/>
            <sz val="8"/>
            <rFont val="Tahoma"/>
            <family val="2"/>
          </rPr>
          <t>Revised January 2006.  Refer to the memo of petroleum data under CLARC at ECY web page.  https://fortress.wa.gov/ecy/clarc/CLARCHome.aspx</t>
        </r>
      </text>
    </comment>
    <comment ref="K23" authorId="2">
      <text>
        <r>
          <rPr>
            <b/>
            <sz val="8"/>
            <rFont val="Tahoma"/>
            <family val="2"/>
          </rPr>
          <t>Revised January 2006.  Refer to the memo of petroleum data under CLARC at ECY web page.  https://fortress.wa.gov/ecy/clarc/CLARCHome.aspx</t>
        </r>
      </text>
    </comment>
    <comment ref="K25" authorId="2">
      <text>
        <r>
          <rPr>
            <b/>
            <sz val="8"/>
            <rFont val="Tahoma"/>
            <family val="2"/>
          </rPr>
          <t>Revised January 2006.  Refer to the memo of petroleum data under CLARC at ECY web page.  https://fortress.wa.gov/ecy/clarc/CLARCHome.aspx</t>
        </r>
      </text>
    </comment>
    <comment ref="K27" authorId="2">
      <text>
        <r>
          <rPr>
            <b/>
            <sz val="8"/>
            <rFont val="Tahoma"/>
            <family val="2"/>
          </rPr>
          <t>Revised January 2006.  Refer to the memo of petroleum data under CLARC at ECY web page.  https://fortress.wa.gov/ecy/clarc/CLARCHome.aspx</t>
        </r>
      </text>
    </comment>
    <comment ref="K28" authorId="2">
      <text>
        <r>
          <rPr>
            <b/>
            <sz val="8"/>
            <rFont val="Tahoma"/>
            <family val="2"/>
          </rPr>
          <t>Revised January 2006.  Refer to the memo of petroleum data under CLARC at ECY web page.  https://fortress.wa.gov/ecy/clarc/CLARCHome.aspx</t>
        </r>
      </text>
    </comment>
    <comment ref="K29" authorId="2">
      <text>
        <r>
          <rPr>
            <b/>
            <sz val="8"/>
            <rFont val="Tahoma"/>
            <family val="2"/>
          </rPr>
          <t>Revised January 2006.  Refer to the memo of petroleum data under CLARC at ECY web page.  https://fortress.wa.gov/ecy/clarc/CLARCHome.aspx</t>
        </r>
      </text>
    </comment>
    <comment ref="K30" authorId="2">
      <text>
        <r>
          <rPr>
            <b/>
            <sz val="8"/>
            <rFont val="Tahoma"/>
            <family val="2"/>
          </rPr>
          <t>Revised January 2006.  Refer to the memo of petroleum data under CLARC at ECY web page.  https://fortress.wa.gov/ecy/clarc/CLARCHome.aspx</t>
        </r>
      </text>
    </comment>
    <comment ref="K34" authorId="2">
      <text>
        <r>
          <rPr>
            <b/>
            <sz val="8"/>
            <rFont val="Tahoma"/>
            <family val="2"/>
          </rPr>
          <t>Revised January 2006.  Refer to the memo of petroleum data under CLARC at ECY web page.  https://fortress.wa.gov/ecy/clarc/CLARCHome.aspx</t>
        </r>
      </text>
    </comment>
    <comment ref="N27" authorId="2">
      <text>
        <r>
          <rPr>
            <b/>
            <sz val="8"/>
            <rFont val="Tahoma"/>
            <family val="2"/>
          </rPr>
          <t>ORNL,  711/2006</t>
        </r>
      </text>
    </comment>
    <comment ref="N28" authorId="2">
      <text>
        <r>
          <rPr>
            <b/>
            <sz val="8"/>
            <rFont val="Tahoma"/>
            <family val="2"/>
          </rPr>
          <t>ORNL,  711/2006</t>
        </r>
      </text>
    </comment>
    <comment ref="J27" authorId="2">
      <text>
        <r>
          <rPr>
            <b/>
            <sz val="8"/>
            <rFont val="Tahoma"/>
            <family val="2"/>
          </rPr>
          <t>CLARC 7/2006</t>
        </r>
      </text>
    </comment>
    <comment ref="J28" authorId="2">
      <text>
        <r>
          <rPr>
            <b/>
            <sz val="8"/>
            <rFont val="Tahoma"/>
            <family val="2"/>
          </rPr>
          <t>CLARC 7/2006</t>
        </r>
        <r>
          <rPr>
            <sz val="8"/>
            <rFont val="Tahoma"/>
            <family val="2"/>
          </rPr>
          <t xml:space="preserve">
</t>
        </r>
      </text>
    </comment>
    <comment ref="O41" authorId="3">
      <text>
        <r>
          <rPr>
            <sz val="8"/>
            <rFont val="Tahoma"/>
            <family val="2"/>
          </rPr>
          <t xml:space="preserve">Revised due to rule MTCA amendment on TEF (10/2007).
</t>
        </r>
      </text>
    </comment>
    <comment ref="P41" authorId="3">
      <text>
        <r>
          <rPr>
            <b/>
            <sz val="8"/>
            <rFont val="Tahoma"/>
            <family val="2"/>
          </rPr>
          <t>Revised due to rule MTCA amendment on TEF (10/2007).</t>
        </r>
      </text>
    </comment>
  </commentList>
</comments>
</file>

<file path=xl/comments22.xml><?xml version="1.0" encoding="utf-8"?>
<comments xmlns="http://schemas.openxmlformats.org/spreadsheetml/2006/main">
  <authors>
    <author>Hun Seak Park</author>
  </authors>
  <commentList>
    <comment ref="J8" authorId="0">
      <text>
        <r>
          <rPr>
            <sz val="10"/>
            <rFont val="Tahoma"/>
            <family val="2"/>
          </rPr>
          <t>Note: Check the columns below for "Fail" detail.  If passed, no sign showed.</t>
        </r>
      </text>
    </comment>
    <comment ref="S35" authorId="0">
      <text>
        <r>
          <rPr>
            <sz val="10"/>
            <rFont val="Tahoma"/>
            <family val="2"/>
          </rPr>
          <t>100% NAPL: TPH concentration at which air-filled pore volume is completely filled by NAPL. This concentration is usually well above Residual Saturation Level defined at WAC 173-340-747 (10).</t>
        </r>
      </text>
    </comment>
    <comment ref="S34" authorId="0">
      <text>
        <r>
          <rPr>
            <b/>
            <sz val="8"/>
            <rFont val="Tahoma"/>
            <family val="2"/>
          </rPr>
          <t>NAPL Saturation is the ratio of NAPL volume to porosity volume</t>
        </r>
      </text>
    </comment>
  </commentList>
</comments>
</file>

<file path=xl/comments23.xml><?xml version="1.0" encoding="utf-8"?>
<comments xmlns="http://schemas.openxmlformats.org/spreadsheetml/2006/main">
  <authors>
    <author>Hun Seak Park</author>
  </authors>
  <commentList>
    <comment ref="BZ13" authorId="0">
      <text>
        <r>
          <rPr>
            <b/>
            <sz val="8"/>
            <rFont val="Tahoma"/>
            <family val="2"/>
          </rPr>
          <t>page 54 of  Volume 3 of TPH Criteria working Group series,  Selection of Representative TPH fractions Based on Fate and Transport considerations; John B. Gustafson, Joan Griffith Tell; doug Orem;  this value is based on averaging of fractions</t>
        </r>
      </text>
    </comment>
  </commentList>
</comments>
</file>

<file path=xl/comments24.xml><?xml version="1.0" encoding="utf-8"?>
<comments xmlns="http://schemas.openxmlformats.org/spreadsheetml/2006/main">
  <authors>
    <author>Hun Seak Park</author>
  </authors>
  <commentList>
    <comment ref="O7" authorId="0">
      <text>
        <r>
          <rPr>
            <b/>
            <sz val="10"/>
            <rFont val="Tahoma"/>
            <family val="2"/>
          </rPr>
          <t xml:space="preserve"> Note: Vapor Attenuation Factor is the ratio of the air concentration at the exposure point (e.g., within the building) to the vapor-phase contaminant concentration within the soil at the source.  It describe the degree of attenuation between soil gas VOC and resulting indoor air concentrations of all volatile Petroleum components.</t>
        </r>
      </text>
    </comment>
    <comment ref="J8" authorId="0">
      <text>
        <r>
          <rPr>
            <b/>
            <sz val="8"/>
            <rFont val="Tahoma"/>
            <family val="2"/>
          </rPr>
          <t>Note: Check the columns below for "Fail" detail.  If passed, no sign showed.</t>
        </r>
      </text>
    </comment>
    <comment ref="C7" authorId="0">
      <text>
        <r>
          <rPr>
            <b/>
            <sz val="8"/>
            <rFont val="Tahoma"/>
            <family val="2"/>
          </rPr>
          <t>when site-specific air background levels are not available, use the default air background levels.</t>
        </r>
      </text>
    </comment>
  </commentList>
</comments>
</file>

<file path=xl/sharedStrings.xml><?xml version="1.0" encoding="utf-8"?>
<sst xmlns="http://schemas.openxmlformats.org/spreadsheetml/2006/main" count="1217" uniqueCount="660">
  <si>
    <t>Total soil porosity</t>
  </si>
  <si>
    <t>mg/l</t>
  </si>
  <si>
    <t>Parameters</t>
  </si>
  <si>
    <t>Unit</t>
  </si>
  <si>
    <t>Defaults</t>
  </si>
  <si>
    <t>Dry Soil Bulk Density</t>
  </si>
  <si>
    <t>kg/l</t>
  </si>
  <si>
    <t>Water-filled soil porosity</t>
  </si>
  <si>
    <t>Compound</t>
  </si>
  <si>
    <t>Koc</t>
  </si>
  <si>
    <t>Moles</t>
  </si>
  <si>
    <t>Xi' @ Product</t>
  </si>
  <si>
    <t>Xi @ 4 phases</t>
  </si>
  <si>
    <t>mg/kg</t>
  </si>
  <si>
    <t>mg/mol</t>
  </si>
  <si>
    <t>l/kg</t>
  </si>
  <si>
    <t>mol/kg</t>
  </si>
  <si>
    <t>mg/l of pore water</t>
  </si>
  <si>
    <t>Benzene</t>
  </si>
  <si>
    <t>Toluene</t>
  </si>
  <si>
    <t>Sum</t>
  </si>
  <si>
    <t>Weight Fraction</t>
  </si>
  <si>
    <t>sum</t>
  </si>
  <si>
    <t>pore water</t>
  </si>
  <si>
    <t>Fraction Organic Carbon</t>
  </si>
  <si>
    <t xml:space="preserve">  </t>
  </si>
  <si>
    <t>mol/l</t>
  </si>
  <si>
    <r>
      <t>Q</t>
    </r>
    <r>
      <rPr>
        <vertAlign val="subscript"/>
        <sz val="10"/>
        <rFont val="Arial"/>
        <family val="2"/>
      </rPr>
      <t>NAPL</t>
    </r>
  </si>
  <si>
    <r>
      <t>S</t>
    </r>
    <r>
      <rPr>
        <vertAlign val="subscript"/>
        <sz val="10"/>
        <rFont val="Arial"/>
        <family val="2"/>
      </rPr>
      <t>NAPL</t>
    </r>
  </si>
  <si>
    <t>n</t>
  </si>
  <si>
    <t>Site Name:</t>
  </si>
  <si>
    <t>DF</t>
  </si>
  <si>
    <t>Aqueous Solubility</t>
  </si>
  <si>
    <t>XiMWi</t>
  </si>
  <si>
    <t>Xi'MWi</t>
  </si>
  <si>
    <t>XiMWi/Li</t>
  </si>
  <si>
    <t>Concentration</t>
  </si>
  <si>
    <t>Hcc</t>
  </si>
  <si>
    <t>%</t>
  </si>
  <si>
    <t>Fraction Organic Carbon: default is 0.001</t>
  </si>
  <si>
    <t>Total Mass distributed in Water Phase:</t>
  </si>
  <si>
    <t>Total Mass distributed in Air Phase:</t>
  </si>
  <si>
    <t>in Solid:</t>
  </si>
  <si>
    <t>in NAPL:</t>
  </si>
  <si>
    <t>before equilibrium</t>
  </si>
  <si>
    <t>after equilibrium</t>
  </si>
  <si>
    <t>Comp</t>
  </si>
  <si>
    <t>In Water phase</t>
  </si>
  <si>
    <t>In Air Phase</t>
  </si>
  <si>
    <t>In dry Solid Phase</t>
  </si>
  <si>
    <t>In NAPL Phase</t>
  </si>
  <si>
    <t>mg/kg-day</t>
  </si>
  <si>
    <t>ABW:</t>
  </si>
  <si>
    <t>kg</t>
  </si>
  <si>
    <t>UCF</t>
  </si>
  <si>
    <t>ug/mg</t>
  </si>
  <si>
    <t>DWIR</t>
  </si>
  <si>
    <t>l/day</t>
  </si>
  <si>
    <t>INH</t>
  </si>
  <si>
    <t>1, or 2</t>
  </si>
  <si>
    <t>HQ</t>
  </si>
  <si>
    <t>Unitless</t>
  </si>
  <si>
    <t>ug/l</t>
  </si>
  <si>
    <t>unitless</t>
  </si>
  <si>
    <t>Actual Soil Concentration being tested</t>
  </si>
  <si>
    <t>WAC 173-340-747: Deriving Soil Cleanup Level for Groundwater Protection with Soil TPH Equilibrium Partitioning Model</t>
  </si>
  <si>
    <t>Combined Model</t>
  </si>
  <si>
    <t>Molar density of each NAPL</t>
  </si>
  <si>
    <t>l/mol</t>
  </si>
  <si>
    <t>molar density of NAPL mixture, mol/l=</t>
  </si>
  <si>
    <t>EQUILIBRIUM PARTITIONING IN SOIL MEDIA BY DIFFERENT MODELS</t>
  </si>
  <si>
    <t>CALCULATION OF TRUE CONCENTRATION</t>
  </si>
  <si>
    <t>in pore air</t>
  </si>
  <si>
    <t>in pore water</t>
  </si>
  <si>
    <t>at GroundWater Well</t>
  </si>
  <si>
    <t xml:space="preserve">TRUE CONCENTRATION </t>
  </si>
  <si>
    <t>Comp of HQ</t>
  </si>
  <si>
    <t>total TPH mass (mg) per liter of soil</t>
  </si>
  <si>
    <t>TPH mass (mg) in each phase per  liter of soil</t>
  </si>
  <si>
    <t>water</t>
  </si>
  <si>
    <t>air</t>
  </si>
  <si>
    <t>dry solid</t>
  </si>
  <si>
    <t>NAPL</t>
  </si>
  <si>
    <t>% TPH mass in each phase</t>
  </si>
  <si>
    <t>in dry solid</t>
  </si>
  <si>
    <t>3-Phase partition</t>
  </si>
  <si>
    <t xml:space="preserve">                                   Equivalent CarbonTPH  Fractions in a soil sample given</t>
  </si>
  <si>
    <t>Actual Soil Concentration or Weight Fraction</t>
  </si>
  <si>
    <t>Exposure Factor</t>
  </si>
  <si>
    <t>CALCULATION OF HAZARD INDEX OF GROUNDWATER</t>
  </si>
  <si>
    <t>TPH CONCENTRATION AT WELL PREDICTED BY MODEL</t>
  </si>
  <si>
    <t>DILUTION</t>
  </si>
  <si>
    <t>FACTOR</t>
  </si>
  <si>
    <t xml:space="preserve"> </t>
  </si>
  <si>
    <t>CALCULATION OF MOLAR DENSITY of NAPL Mixture</t>
  </si>
  <si>
    <t>Density of each EC group NAPL phase</t>
  </si>
  <si>
    <t xml:space="preserve">   4-Phase partition</t>
  </si>
  <si>
    <t>in NAPL</t>
  </si>
  <si>
    <t>total</t>
  </si>
  <si>
    <t>Difference</t>
  </si>
  <si>
    <t>Mass Distribution in 4-phases</t>
  </si>
  <si>
    <t>Water</t>
  </si>
  <si>
    <t>Dry Solid</t>
  </si>
  <si>
    <t>Air</t>
  </si>
  <si>
    <t>% mass Distribution in each phase</t>
  </si>
  <si>
    <t>Pore Water</t>
  </si>
  <si>
    <t>Pore Air</t>
  </si>
  <si>
    <t>mg/kg of dry solid</t>
  </si>
  <si>
    <t>mg/l of NAPL</t>
  </si>
  <si>
    <t xml:space="preserve">in pore air </t>
  </si>
  <si>
    <t>in Dry Solid</t>
  </si>
  <si>
    <t>mg/L of total Soil</t>
  </si>
  <si>
    <t xml:space="preserve">   mass in each phase per L of total soil</t>
  </si>
  <si>
    <t>Ethylbenzene</t>
  </si>
  <si>
    <t>mg/l of pore air</t>
  </si>
  <si>
    <t>Conservation of volume equation: Overestimated as of:</t>
  </si>
  <si>
    <t>TPH (mg of TPH/L of Soil):</t>
  </si>
  <si>
    <t>Adjustment of Air content:</t>
  </si>
  <si>
    <t>Adjusted Air-filled soil porosity</t>
  </si>
  <si>
    <t>Minimum</t>
  </si>
  <si>
    <t>Max</t>
  </si>
  <si>
    <t>Increment</t>
  </si>
  <si>
    <t>step</t>
  </si>
  <si>
    <t>do not change</t>
  </si>
  <si>
    <t>from 3-phase; compute Cwi/Si</t>
  </si>
  <si>
    <t>Double-Check the formation of NAPL phase</t>
  </si>
  <si>
    <t>from Mariner's formula (18)</t>
  </si>
  <si>
    <t>Computation completed?</t>
  </si>
  <si>
    <t>check  from Mariner's formula</t>
  </si>
  <si>
    <t>HI @GW</t>
  </si>
  <si>
    <t>N/A</t>
  </si>
  <si>
    <t>Benzo(a)pyrene</t>
  </si>
  <si>
    <t>Benzo(b)fluoranthene</t>
  </si>
  <si>
    <t>Benzo(k)fluoranthene</t>
  </si>
  <si>
    <t>Chrysene</t>
  </si>
  <si>
    <t>Indeno(1,2,3-cd)pyrene</t>
  </si>
  <si>
    <r>
      <t>*</t>
    </r>
    <r>
      <rPr>
        <sz val="10"/>
        <rFont val="Symbol"/>
        <family val="1"/>
      </rPr>
      <t>Q</t>
    </r>
    <r>
      <rPr>
        <vertAlign val="subscript"/>
        <sz val="10"/>
        <rFont val="Arial"/>
        <family val="2"/>
      </rPr>
      <t xml:space="preserve">NAPL </t>
    </r>
    <r>
      <rPr>
        <sz val="10"/>
        <rFont val="Arial"/>
        <family val="2"/>
      </rPr>
      <t>calculated by NAPL mixture density, L=</t>
    </r>
  </si>
  <si>
    <t>*Density of NAPL Mixture after equilibrium if existing, mg/L=</t>
  </si>
  <si>
    <t>Type of model used for computation:</t>
  </si>
  <si>
    <t>check the computation completeness</t>
  </si>
  <si>
    <t>Density, mg/l</t>
  </si>
  <si>
    <t>Xi'MWi/Li</t>
  </si>
  <si>
    <t>Total soil porosity: default is 0.43</t>
  </si>
  <si>
    <t>Volumetric water content: default is 0.3</t>
  </si>
  <si>
    <t>Soil bulk density measured: default is 1.5</t>
  </si>
  <si>
    <t>Initial volumetric air content: default is 0.13</t>
  </si>
  <si>
    <t>Criteria:</t>
  </si>
  <si>
    <t>Initial Weighted Average MW of NAPL (g/mol):</t>
  </si>
  <si>
    <t>Equilibrated Weighted Average MW of NAPL (g/mol):</t>
  </si>
  <si>
    <t>2-Phase partition (Raoult's Law)</t>
  </si>
  <si>
    <t>3 Criteria</t>
  </si>
  <si>
    <t xml:space="preserve">Total Soil  Concentration (mg/kg) tested: </t>
  </si>
  <si>
    <t>CAS NO</t>
  </si>
  <si>
    <t>AR_EC &gt;8-10</t>
  </si>
  <si>
    <t>AR_EC &gt;10-12</t>
  </si>
  <si>
    <t>AR_EC &gt;12-16</t>
  </si>
  <si>
    <t>AR_EC &gt;16-21</t>
  </si>
  <si>
    <t>AL_EC &gt;8-10</t>
  </si>
  <si>
    <t>AL_EC &gt;10-12</t>
  </si>
  <si>
    <t>AL_EC &gt;12-16</t>
  </si>
  <si>
    <t>AL_EC &gt;5-6</t>
  </si>
  <si>
    <t>AL_EC &gt;6-8</t>
  </si>
  <si>
    <t>Initial Air content=</t>
  </si>
  <si>
    <t>total Soil Conc testing (mg/kg)</t>
  </si>
  <si>
    <t>Mass fraction @Well</t>
  </si>
  <si>
    <t>Mass fraction @Soil (Measured)</t>
  </si>
  <si>
    <t>Hazard Index fraction @Well</t>
  </si>
  <si>
    <t>Soil</t>
  </si>
  <si>
    <t>Saturation</t>
  </si>
  <si>
    <t>Your total soil concentration/ fraction is:</t>
  </si>
  <si>
    <t>Total Xylenes</t>
  </si>
  <si>
    <t>Equivalent Carbon Number</t>
  </si>
  <si>
    <t>Molecular Weight</t>
  </si>
  <si>
    <t>MTBE</t>
  </si>
  <si>
    <t>For Reference only: Csat</t>
  </si>
  <si>
    <t>Backward calculation</t>
  </si>
  <si>
    <t>TPH, ug/l</t>
  </si>
  <si>
    <t>Decision Criteria in Ground water quality</t>
  </si>
  <si>
    <t>Chemical of Concern</t>
  </si>
  <si>
    <t>or Equivalent Carbon Group</t>
  </si>
  <si>
    <t>Actual Soil Conc</t>
  </si>
  <si>
    <t>Total</t>
  </si>
  <si>
    <t>ABW, kg</t>
  </si>
  <si>
    <t>BR, m3/day</t>
  </si>
  <si>
    <t>Inhalation Rfd</t>
  </si>
  <si>
    <t>% HQ</t>
  </si>
  <si>
    <t>Background Level</t>
  </si>
  <si>
    <t>n-Hexane</t>
  </si>
  <si>
    <t>Critical Temperature, T</t>
  </si>
  <si>
    <t>Unit Risk Factor, URF</t>
  </si>
  <si>
    <t>Reference Source</t>
  </si>
  <si>
    <t>cal/mol</t>
  </si>
  <si>
    <t>Chemicals</t>
  </si>
  <si>
    <t>TOTAL</t>
  </si>
  <si>
    <t>kg-day/mg</t>
  </si>
  <si>
    <t xml:space="preserve">Average Body Weight, ABW </t>
  </si>
  <si>
    <t>year</t>
  </si>
  <si>
    <t>Exposure Frequency, EF</t>
  </si>
  <si>
    <t>Exposure Duration, ED</t>
  </si>
  <si>
    <t>Soil Ingestion Rate, SIR</t>
  </si>
  <si>
    <t>mg/day</t>
  </si>
  <si>
    <t>Dermal Surface Area, SA</t>
  </si>
  <si>
    <t>dry basis</t>
  </si>
  <si>
    <t>AB1</t>
  </si>
  <si>
    <t>AF</t>
  </si>
  <si>
    <t>ABS</t>
  </si>
  <si>
    <t>GI</t>
  </si>
  <si>
    <t>RfDd</t>
  </si>
  <si>
    <t>RISK</t>
  </si>
  <si>
    <t>Unit Conversion Factor, UCF</t>
  </si>
  <si>
    <t>Drinking Water Ingestion Rate, DWIR</t>
  </si>
  <si>
    <t>Drinking Water Fraction, DWF</t>
  </si>
  <si>
    <t>or EC Group</t>
  </si>
  <si>
    <t>weight fraction</t>
  </si>
  <si>
    <t>Pass or Fail?</t>
  </si>
  <si>
    <t>Current Condition</t>
  </si>
  <si>
    <t xml:space="preserve">  Adjusted Condition</t>
  </si>
  <si>
    <t>Sample info:</t>
  </si>
  <si>
    <t>Sample Name:</t>
  </si>
  <si>
    <t>Averaging Time, AT</t>
  </si>
  <si>
    <r>
      <t>cm</t>
    </r>
    <r>
      <rPr>
        <vertAlign val="superscript"/>
        <sz val="9"/>
        <rFont val="Times New Roman"/>
        <family val="1"/>
      </rPr>
      <t>2</t>
    </r>
  </si>
  <si>
    <t>CPFd</t>
  </si>
  <si>
    <t>grade</t>
  </si>
  <si>
    <t>Date:</t>
  </si>
  <si>
    <t>Soil Conc being tested</t>
  </si>
  <si>
    <t>Hazard Index @Well:</t>
  </si>
  <si>
    <t>Ethylene Dibromide (EDB)</t>
  </si>
  <si>
    <t>1,2 Dichloroethane (EDC)</t>
  </si>
  <si>
    <t>Benzo(a)anthracene</t>
  </si>
  <si>
    <t>205-99-2</t>
  </si>
  <si>
    <t>207-08-9</t>
  </si>
  <si>
    <t>56-55-3</t>
  </si>
  <si>
    <t>218-01-9</t>
  </si>
  <si>
    <t>Dibenzo(a,h)anthracene</t>
  </si>
  <si>
    <t>Calculation of HI of Air Quality in indoor</t>
  </si>
  <si>
    <t>Life, yr</t>
  </si>
  <si>
    <t>Vapor Attenuation Factor</t>
  </si>
  <si>
    <t>Noncarcinogenic</t>
  </si>
  <si>
    <t>Carcinogenic</t>
  </si>
  <si>
    <t>Inhalation CPF</t>
  </si>
  <si>
    <t>Grade</t>
  </si>
  <si>
    <t>HI Check</t>
  </si>
  <si>
    <t>Vapor Check</t>
  </si>
  <si>
    <t>Noncarcinogen Test</t>
  </si>
  <si>
    <t>Carcinogen Test</t>
  </si>
  <si>
    <t>DUR, yrs</t>
  </si>
  <si>
    <t>Exposure Pathway</t>
  </si>
  <si>
    <t>HI check</t>
  </si>
  <si>
    <t>Curent Status</t>
  </si>
  <si>
    <t>&gt;=10000?</t>
  </si>
  <si>
    <t>Average Body Weight, ABW</t>
  </si>
  <si>
    <t>Adjusted Condition</t>
  </si>
  <si>
    <t>checkCarcino</t>
  </si>
  <si>
    <t>check HI</t>
  </si>
  <si>
    <t>total sum</t>
  </si>
  <si>
    <t>Exposure Parameters for Non-carcinogenecity</t>
  </si>
  <si>
    <t>CALCULATION OF Cancer Risk  OF GROUNDWATER</t>
  </si>
  <si>
    <t xml:space="preserve">Oral CPF </t>
  </si>
  <si>
    <t>Cancer Risk</t>
  </si>
  <si>
    <t>Comp of Cancer Risk</t>
  </si>
  <si>
    <r>
      <t>mg/cm</t>
    </r>
    <r>
      <rPr>
        <vertAlign val="superscript"/>
        <sz val="8"/>
        <rFont val="Times New Roman"/>
        <family val="1"/>
      </rPr>
      <t>2</t>
    </r>
    <r>
      <rPr>
        <sz val="8"/>
        <rFont val="Times New Roman"/>
        <family val="1"/>
      </rPr>
      <t>-day</t>
    </r>
  </si>
  <si>
    <t>Toxicity Parameters</t>
  </si>
  <si>
    <t>Adjusted</t>
  </si>
  <si>
    <t>Exposure Parameters</t>
  </si>
  <si>
    <t>HI=</t>
  </si>
  <si>
    <t>Averaging time, AT_C</t>
  </si>
  <si>
    <t>yr</t>
  </si>
  <si>
    <t>for Non-carcinogens</t>
  </si>
  <si>
    <t>for Carcinogens</t>
  </si>
  <si>
    <t>Pass?</t>
  </si>
  <si>
    <t>Check Carcino</t>
  </si>
  <si>
    <t>Check HI</t>
  </si>
  <si>
    <t>Cancer Risk @ Well:</t>
  </si>
  <si>
    <t>pass or fail?</t>
  </si>
  <si>
    <t>Symbol</t>
  </si>
  <si>
    <t>Item</t>
  </si>
  <si>
    <t>Mass Distribution Pattern @ 4-phase in soil pore system:</t>
  </si>
  <si>
    <t>HQ @ Well</t>
  </si>
  <si>
    <t>HI</t>
  </si>
  <si>
    <t>MW</t>
  </si>
  <si>
    <t>S</t>
  </si>
  <si>
    <t>r</t>
  </si>
  <si>
    <t>Soil Organic Carbon-Water Partitioning Coef</t>
  </si>
  <si>
    <t>Liquid Density</t>
  </si>
  <si>
    <t>Oral Reference Dose</t>
  </si>
  <si>
    <t>Inhalation Correction Factor</t>
  </si>
  <si>
    <t>Dermal Absorption Fraction</t>
  </si>
  <si>
    <t>in water</t>
  </si>
  <si>
    <t>in soil</t>
  </si>
  <si>
    <t>Practical Quantitation Limit</t>
  </si>
  <si>
    <t>Ratio</t>
  </si>
  <si>
    <t>Composition</t>
  </si>
  <si>
    <t>Initial positive value for (Equilibrated Molar density * Void volume occupied by NAPL formed)</t>
  </si>
  <si>
    <r>
      <t>ug/m</t>
    </r>
    <r>
      <rPr>
        <vertAlign val="superscript"/>
        <sz val="9"/>
        <rFont val="Times New Roman"/>
        <family val="1"/>
      </rPr>
      <t>3</t>
    </r>
  </si>
  <si>
    <t>Petroleum EC Fraction</t>
  </si>
  <si>
    <t>AL_EC &gt;16-21</t>
  </si>
  <si>
    <t>AL_EC &gt;21-34</t>
  </si>
  <si>
    <t>Henry's Law Constant</t>
  </si>
  <si>
    <r>
      <t>Diffusivity in air, D</t>
    </r>
    <r>
      <rPr>
        <vertAlign val="subscript"/>
        <sz val="10"/>
        <rFont val="Times New Roman"/>
        <family val="1"/>
      </rPr>
      <t>a</t>
    </r>
  </si>
  <si>
    <r>
      <t>Diffusivity in water, D</t>
    </r>
    <r>
      <rPr>
        <vertAlign val="subscript"/>
        <sz val="10"/>
        <rFont val="Times New Roman"/>
        <family val="1"/>
      </rPr>
      <t>w</t>
    </r>
  </si>
  <si>
    <t>Toxicological Properties</t>
  </si>
  <si>
    <r>
      <t>H</t>
    </r>
    <r>
      <rPr>
        <b/>
        <i/>
        <vertAlign val="subscript"/>
        <sz val="14"/>
        <rFont val="Times New Roman"/>
        <family val="1"/>
      </rPr>
      <t>cc</t>
    </r>
  </si>
  <si>
    <r>
      <t>K</t>
    </r>
    <r>
      <rPr>
        <b/>
        <i/>
        <vertAlign val="subscript"/>
        <sz val="14"/>
        <rFont val="Times New Roman"/>
        <family val="1"/>
      </rPr>
      <t>oc</t>
    </r>
  </si>
  <si>
    <r>
      <t>RfD</t>
    </r>
    <r>
      <rPr>
        <b/>
        <i/>
        <vertAlign val="subscript"/>
        <sz val="14"/>
        <rFont val="Times New Roman"/>
        <family val="1"/>
      </rPr>
      <t>o</t>
    </r>
  </si>
  <si>
    <r>
      <t>RfD</t>
    </r>
    <r>
      <rPr>
        <b/>
        <i/>
        <vertAlign val="subscript"/>
        <sz val="14"/>
        <rFont val="Times New Roman"/>
        <family val="1"/>
      </rPr>
      <t>i</t>
    </r>
  </si>
  <si>
    <r>
      <t>CPF</t>
    </r>
    <r>
      <rPr>
        <b/>
        <i/>
        <vertAlign val="subscript"/>
        <sz val="14"/>
        <rFont val="Times New Roman"/>
        <family val="1"/>
      </rPr>
      <t>o</t>
    </r>
  </si>
  <si>
    <r>
      <t>CPF</t>
    </r>
    <r>
      <rPr>
        <b/>
        <i/>
        <vertAlign val="subscript"/>
        <sz val="14"/>
        <rFont val="Times New Roman"/>
        <family val="1"/>
      </rPr>
      <t>i</t>
    </r>
  </si>
  <si>
    <t>AR_EC &gt;21-34</t>
  </si>
  <si>
    <r>
      <t>ABS</t>
    </r>
    <r>
      <rPr>
        <b/>
        <i/>
        <vertAlign val="subscript"/>
        <sz val="14"/>
        <rFont val="Times New Roman"/>
        <family val="1"/>
      </rPr>
      <t>d</t>
    </r>
  </si>
  <si>
    <r>
      <t>mg/m</t>
    </r>
    <r>
      <rPr>
        <vertAlign val="superscript"/>
        <sz val="10"/>
        <rFont val="Times New Roman"/>
        <family val="1"/>
      </rPr>
      <t>3</t>
    </r>
  </si>
  <si>
    <r>
      <t>(ug/m</t>
    </r>
    <r>
      <rPr>
        <vertAlign val="superscript"/>
        <sz val="10"/>
        <rFont val="Times New Roman"/>
        <family val="1"/>
      </rPr>
      <t>3</t>
    </r>
    <r>
      <rPr>
        <sz val="10"/>
        <rFont val="Times New Roman"/>
        <family val="1"/>
      </rPr>
      <t>)</t>
    </r>
    <r>
      <rPr>
        <vertAlign val="superscript"/>
        <sz val="10"/>
        <rFont val="Times New Roman"/>
        <family val="1"/>
      </rPr>
      <t>-1</t>
    </r>
  </si>
  <si>
    <r>
      <t>cm</t>
    </r>
    <r>
      <rPr>
        <vertAlign val="superscript"/>
        <sz val="10"/>
        <rFont val="Times New Roman"/>
        <family val="1"/>
      </rPr>
      <t>2</t>
    </r>
    <r>
      <rPr>
        <sz val="10"/>
        <rFont val="Times New Roman"/>
        <family val="1"/>
      </rPr>
      <t>/s</t>
    </r>
  </si>
  <si>
    <r>
      <t>o</t>
    </r>
    <r>
      <rPr>
        <sz val="10"/>
        <rFont val="Times New Roman"/>
        <family val="1"/>
      </rPr>
      <t>K</t>
    </r>
  </si>
  <si>
    <t>Physical-Chemical Properties</t>
  </si>
  <si>
    <t xml:space="preserve">                   DEFAULT PHYSICAL-CHEMICAL PARAMETERS GIVEN</t>
  </si>
  <si>
    <t>71-43-2</t>
  </si>
  <si>
    <t>108-88-3</t>
  </si>
  <si>
    <t>100-41-4</t>
  </si>
  <si>
    <t>1634-04-4</t>
  </si>
  <si>
    <t>106-93-4</t>
  </si>
  <si>
    <t>107-06-2</t>
  </si>
  <si>
    <t>50-32-8</t>
  </si>
  <si>
    <t>57-70-3</t>
  </si>
  <si>
    <t>193-39-5</t>
  </si>
  <si>
    <t>110-54-3</t>
  </si>
  <si>
    <t>Gastroint-estinal Absorption Conversion Factor</t>
  </si>
  <si>
    <t>True GW Concentration @ well</t>
  </si>
  <si>
    <r>
      <t xml:space="preserve">Numerical Error on </t>
    </r>
    <r>
      <rPr>
        <sz val="12"/>
        <rFont val="Symbol"/>
        <family val="1"/>
      </rPr>
      <t>S</t>
    </r>
    <r>
      <rPr>
        <sz val="12"/>
        <rFont val="Arial"/>
        <family val="2"/>
      </rPr>
      <t>xi</t>
    </r>
    <r>
      <rPr>
        <sz val="12"/>
        <rFont val="Symbol"/>
        <family val="1"/>
      </rPr>
      <t>:</t>
    </r>
  </si>
  <si>
    <t>Decision Criteria in Air Quality</t>
  </si>
  <si>
    <t>at different soil media</t>
  </si>
  <si>
    <t xml:space="preserve">Note: check the site information in InputOutput worksheet,  </t>
  </si>
  <si>
    <t xml:space="preserve">   Then Enter Minimum and Maximum Soil concentration to test</t>
  </si>
  <si>
    <t>Raoult's Law</t>
  </si>
  <si>
    <t>Washington State Department of Ecology</t>
  </si>
  <si>
    <t>Toxics Cleanup Program</t>
  </si>
  <si>
    <t>Workbook for Calculating Cleanup Levels for Petroleum Contaminated Sites</t>
  </si>
  <si>
    <t>Air Exposure Factor  for Method B calculation</t>
  </si>
  <si>
    <t>Compound or Petroleum Equivalent Carbon Fraction</t>
  </si>
  <si>
    <t>Analytical</t>
  </si>
  <si>
    <t>Reference Conc, RfC</t>
  </si>
  <si>
    <t>Normal Boiling Point</t>
  </si>
  <si>
    <r>
      <t xml:space="preserve">Enthalpy of Vaporization at the normal boiling point, </t>
    </r>
    <r>
      <rPr>
        <sz val="10"/>
        <rFont val="Symbol"/>
        <family val="1"/>
      </rPr>
      <t>D</t>
    </r>
    <r>
      <rPr>
        <sz val="10"/>
        <rFont val="Times New Roman"/>
        <family val="1"/>
      </rPr>
      <t>Hv,b</t>
    </r>
  </si>
  <si>
    <t xml:space="preserve"> @ Soil TPH, mg/kg =</t>
  </si>
  <si>
    <r>
      <t xml:space="preserve">Volumetric NAPL Content, </t>
    </r>
    <r>
      <rPr>
        <i/>
        <sz val="9"/>
        <rFont val="Symbol"/>
        <family val="1"/>
      </rPr>
      <t>Q</t>
    </r>
    <r>
      <rPr>
        <i/>
        <vertAlign val="subscript"/>
        <sz val="9"/>
        <rFont val="Times New Roman"/>
        <family val="1"/>
      </rPr>
      <t>NAPL</t>
    </r>
    <r>
      <rPr>
        <sz val="9"/>
        <rFont val="Times New Roman"/>
        <family val="1"/>
      </rPr>
      <t xml:space="preserve"> :</t>
    </r>
  </si>
  <si>
    <r>
      <t xml:space="preserve">NAPL Saturation (%), </t>
    </r>
    <r>
      <rPr>
        <i/>
        <sz val="9"/>
        <rFont val="Symbol"/>
        <family val="1"/>
      </rPr>
      <t>Q</t>
    </r>
    <r>
      <rPr>
        <i/>
        <vertAlign val="subscript"/>
        <sz val="9"/>
        <rFont val="Times New Roman"/>
        <family val="1"/>
      </rPr>
      <t>NAPL</t>
    </r>
    <r>
      <rPr>
        <i/>
        <sz val="9"/>
        <rFont val="Times New Roman"/>
        <family val="1"/>
      </rPr>
      <t>/n:</t>
    </r>
  </si>
  <si>
    <t>Predicted TPH (ug/l) @Well:</t>
  </si>
  <si>
    <t>Initial Weighted Average Density of NAPL (kg/l):</t>
  </si>
  <si>
    <t>Dry Solid adsorbed</t>
  </si>
  <si>
    <t>n =</t>
  </si>
  <si>
    <t>DF =</t>
  </si>
  <si>
    <t>Calculation of Vapor concentration at source</t>
  </si>
  <si>
    <t>atm</t>
  </si>
  <si>
    <t>vapor conc</t>
  </si>
  <si>
    <t>4-phase model and Henry's Constant</t>
  </si>
  <si>
    <t xml:space="preserve">Vapor Conc </t>
  </si>
  <si>
    <t>When total soil concentration is:</t>
  </si>
  <si>
    <t>vapor Pressure</t>
  </si>
  <si>
    <t>mg/l of air</t>
  </si>
  <si>
    <t>Ca=Xi*Pi*MW/(R*T): by standard partial vapor pressure  and Raoult's approach @ 20C</t>
  </si>
  <si>
    <t>for</t>
  </si>
  <si>
    <t>cPAHs</t>
  </si>
  <si>
    <t>all</t>
  </si>
  <si>
    <t xml:space="preserve">for </t>
  </si>
  <si>
    <t>Measured Soil Conc</t>
  </si>
  <si>
    <t xml:space="preserve">Measured Soil Conc </t>
  </si>
  <si>
    <t>Units</t>
  </si>
  <si>
    <t>Value</t>
  </si>
  <si>
    <t>Averaging time, AT</t>
  </si>
  <si>
    <t xml:space="preserve">all </t>
  </si>
  <si>
    <t>Inhalation Reference Dose</t>
  </si>
  <si>
    <t xml:space="preserve"> Inhalation Carcinogenic Potency Factor (with CalEPA's TEF for cPAHs)</t>
  </si>
  <si>
    <t>Oral Carcinogenic Potency Factor (with CalEPA's TEF for cPAHs)</t>
  </si>
  <si>
    <t>GFW</t>
  </si>
  <si>
    <t xml:space="preserve"> @ Soil TPH, mg/kg=</t>
  </si>
  <si>
    <t>HQ of air @ exposure point</t>
  </si>
  <si>
    <r>
      <t>ug/m</t>
    </r>
    <r>
      <rPr>
        <vertAlign val="superscript"/>
        <sz val="10"/>
        <rFont val="Arial"/>
        <family val="2"/>
      </rPr>
      <t>3</t>
    </r>
  </si>
  <si>
    <t>BGD adjusted Vapor conc at exposure point</t>
  </si>
  <si>
    <t>without BGD adjustment</t>
  </si>
  <si>
    <t>with BGD adjustment</t>
  </si>
  <si>
    <t>Vapor Conc predicted at exposure point</t>
  </si>
  <si>
    <r>
      <t>Target air TPH CUL? ug/m</t>
    </r>
    <r>
      <rPr>
        <vertAlign val="superscript"/>
        <sz val="10"/>
        <rFont val="Arial"/>
        <family val="2"/>
      </rPr>
      <t>3</t>
    </r>
    <r>
      <rPr>
        <sz val="10"/>
        <color indexed="12"/>
        <rFont val="Arial"/>
        <family val="0"/>
      </rPr>
      <t xml:space="preserve"> @ HI=1</t>
    </r>
  </si>
  <si>
    <r>
      <t>Target Air TPH CUL? ug/m</t>
    </r>
    <r>
      <rPr>
        <vertAlign val="superscript"/>
        <sz val="10"/>
        <rFont val="Arial"/>
        <family val="2"/>
      </rPr>
      <t>3</t>
    </r>
    <r>
      <rPr>
        <sz val="10"/>
        <color indexed="12"/>
        <rFont val="Arial"/>
        <family val="0"/>
      </rPr>
      <t xml:space="preserve"> @ RISK= 1E-5</t>
    </r>
  </si>
  <si>
    <t>with BGD adjusment</t>
  </si>
  <si>
    <t>Soil Vapor Conc @ source</t>
  </si>
  <si>
    <t>with adjustment</t>
  </si>
  <si>
    <t>without adjustment</t>
  </si>
  <si>
    <t xml:space="preserve"> @dry basis</t>
  </si>
  <si>
    <t>Non-cancer contribution</t>
  </si>
  <si>
    <t>for Non-Carcinogens</t>
  </si>
  <si>
    <t>for both HI and Cancer Risk</t>
  </si>
  <si>
    <t>Soil Conc for 5% NAPL of air content, mg/kg</t>
  </si>
  <si>
    <t>Residual Saturation Limit</t>
  </si>
  <si>
    <t>Soil Conc for 100% NAPL of air content, mg/kg</t>
  </si>
  <si>
    <t>risk 10-6=</t>
  </si>
  <si>
    <t>risk 10-5=</t>
  </si>
  <si>
    <t>Cancer Risk 10-5</t>
  </si>
  <si>
    <t>Cancer risk 10-6</t>
  </si>
  <si>
    <t>TPH</t>
  </si>
  <si>
    <t>total risk cPAHs=</t>
  </si>
  <si>
    <t>HI =1</t>
  </si>
  <si>
    <t>CUL for exposure pathway:</t>
  </si>
  <si>
    <t>Benzene 10-6</t>
  </si>
  <si>
    <t>criteria used</t>
  </si>
  <si>
    <t>Total Naphthalene</t>
  </si>
  <si>
    <t>Risk?</t>
  </si>
  <si>
    <t>TPH?</t>
  </si>
  <si>
    <t>ug/L</t>
  </si>
  <si>
    <t>risk of cPAHs</t>
  </si>
  <si>
    <t>calc result</t>
  </si>
  <si>
    <t>pass/Fail</t>
  </si>
  <si>
    <t>1-e5 or 1e-6</t>
  </si>
  <si>
    <t>sum of cPAHs?</t>
  </si>
  <si>
    <t>overall Pass or Fail</t>
  </si>
  <si>
    <t>risk</t>
  </si>
  <si>
    <t>sum(cPAHs)</t>
  </si>
  <si>
    <t>Criteria used?</t>
  </si>
  <si>
    <t>Method C: Industrial Land Use</t>
  </si>
  <si>
    <t>HI=1</t>
  </si>
  <si>
    <t>Risk @ Well</t>
  </si>
  <si>
    <t>Risk of cPAHs</t>
  </si>
  <si>
    <t>Method B: Unrestricted Land Use</t>
  </si>
  <si>
    <t>Naphthalenes</t>
  </si>
  <si>
    <t xml:space="preserve"> sum TPH</t>
  </si>
  <si>
    <t>sum(cPAH)</t>
  </si>
  <si>
    <t>GW TPH, ug/L</t>
  </si>
  <si>
    <t>Benzene Conc?</t>
  </si>
  <si>
    <t>decision criteria</t>
  </si>
  <si>
    <t>reference to find :NA"</t>
  </si>
  <si>
    <t>CUL TPH?</t>
  </si>
  <si>
    <t>criteria?</t>
  </si>
  <si>
    <t>GW Conc being tested</t>
  </si>
  <si>
    <t>sum cPAHs</t>
  </si>
  <si>
    <t>Goal-seeker is being used for this worksheet calculation: Volume conservation will be violated at some degree; approximate numerical error is within 0.1%.</t>
  </si>
  <si>
    <t>Mass Balance recaptured</t>
  </si>
  <si>
    <t>in air</t>
  </si>
  <si>
    <t>TPH @well by Raoult's Law, mg/L</t>
  </si>
  <si>
    <t>In Pore Water Phase</t>
  </si>
  <si>
    <t>In Pore Air Phase</t>
  </si>
  <si>
    <t>In Dry Solid Phase</t>
  </si>
  <si>
    <r>
      <t>Q</t>
    </r>
    <r>
      <rPr>
        <b/>
        <vertAlign val="subscript"/>
        <sz val="12"/>
        <rFont val="Symbol"/>
        <family val="1"/>
      </rPr>
      <t xml:space="preserve">w </t>
    </r>
    <r>
      <rPr>
        <b/>
        <sz val="12"/>
        <rFont val="Symbol"/>
        <family val="1"/>
      </rPr>
      <t>=</t>
    </r>
  </si>
  <si>
    <r>
      <t>Q</t>
    </r>
    <r>
      <rPr>
        <b/>
        <vertAlign val="subscript"/>
        <sz val="12"/>
        <rFont val="Symbol"/>
        <family val="1"/>
      </rPr>
      <t xml:space="preserve">a </t>
    </r>
    <r>
      <rPr>
        <b/>
        <sz val="12"/>
        <rFont val="Symbol"/>
        <family val="1"/>
      </rPr>
      <t>=</t>
    </r>
  </si>
  <si>
    <r>
      <t>r</t>
    </r>
    <r>
      <rPr>
        <b/>
        <vertAlign val="subscript"/>
        <sz val="12"/>
        <rFont val="Arial"/>
        <family val="2"/>
      </rPr>
      <t>b</t>
    </r>
    <r>
      <rPr>
        <b/>
        <sz val="12"/>
        <rFont val="Arial"/>
        <family val="2"/>
      </rPr>
      <t>, kg/l =</t>
    </r>
  </si>
  <si>
    <r>
      <t>f</t>
    </r>
    <r>
      <rPr>
        <b/>
        <vertAlign val="subscript"/>
        <sz val="12"/>
        <rFont val="Arial"/>
        <family val="2"/>
      </rPr>
      <t xml:space="preserve">oc </t>
    </r>
    <r>
      <rPr>
        <b/>
        <sz val="12"/>
        <rFont val="Arial"/>
        <family val="2"/>
      </rPr>
      <t>=</t>
    </r>
  </si>
  <si>
    <t>GW sample: MW-8; sample type: N</t>
  </si>
  <si>
    <t>HI?</t>
  </si>
  <si>
    <t>risk?</t>
  </si>
  <si>
    <t>cPAHs?</t>
  </si>
  <si>
    <t>Benzene?</t>
  </si>
  <si>
    <t xml:space="preserve">adjusted </t>
  </si>
  <si>
    <t>Direct contact Decision (unrestricted land use)</t>
  </si>
  <si>
    <t>industrial land use</t>
  </si>
  <si>
    <t>2-criteria</t>
  </si>
  <si>
    <t>check from solver's initial value and converg</t>
  </si>
  <si>
    <t>HI =</t>
  </si>
  <si>
    <t>sum of carcino chemical:</t>
  </si>
  <si>
    <t>Total Risk = 1E-5</t>
  </si>
  <si>
    <t>Total Risk = 1E-6</t>
  </si>
  <si>
    <t>100% NAPL Saturation, mg/kg</t>
  </si>
  <si>
    <t>xyz site;VPH and EPH data analysis; ND = zero out</t>
  </si>
  <si>
    <t>Temperaure</t>
  </si>
  <si>
    <t>mole fraction @Raoult Rule)</t>
  </si>
  <si>
    <t>g/mol</t>
  </si>
  <si>
    <r>
      <t>ug/m</t>
    </r>
    <r>
      <rPr>
        <vertAlign val="superscript"/>
        <sz val="10"/>
        <rFont val="Arial"/>
        <family val="2"/>
      </rPr>
      <t>3</t>
    </r>
    <r>
      <rPr>
        <sz val="10"/>
        <color indexed="12"/>
        <rFont val="Arial"/>
        <family val="0"/>
      </rPr>
      <t xml:space="preserve"> of air</t>
    </r>
  </si>
  <si>
    <t xml:space="preserve">potential 100% NAPL in air content, mg/kg </t>
  </si>
  <si>
    <t xml:space="preserve"> @ 100% NAPL in air content of soil: soil_GW pathway</t>
  </si>
  <si>
    <t>100%NAPL of Air content</t>
  </si>
  <si>
    <t>mole fraction from 4-phase</t>
  </si>
  <si>
    <t>ug/m3 of air</t>
  </si>
  <si>
    <t>Risk =</t>
  </si>
  <si>
    <t>Risk of cPAHs = 1E-5</t>
  </si>
  <si>
    <t>Risk=</t>
  </si>
  <si>
    <r>
      <t>ABS</t>
    </r>
    <r>
      <rPr>
        <vertAlign val="subscript"/>
        <sz val="8"/>
        <rFont val="Times New Roman"/>
        <family val="1"/>
      </rPr>
      <t>d</t>
    </r>
  </si>
  <si>
    <r>
      <t>RfD</t>
    </r>
    <r>
      <rPr>
        <vertAlign val="subscript"/>
        <sz val="8"/>
        <rFont val="Times New Roman"/>
        <family val="1"/>
      </rPr>
      <t>o</t>
    </r>
  </si>
  <si>
    <r>
      <t>CPF</t>
    </r>
    <r>
      <rPr>
        <vertAlign val="subscript"/>
        <sz val="8"/>
        <rFont val="Times New Roman"/>
        <family val="1"/>
      </rPr>
      <t>o</t>
    </r>
  </si>
  <si>
    <t xml:space="preserve">Exposure Parameters </t>
  </si>
  <si>
    <t>kg/L</t>
  </si>
  <si>
    <t>mg/L</t>
  </si>
  <si>
    <t>L/kg</t>
  </si>
  <si>
    <t>2. Enter Soil Concentration Measured</t>
  </si>
  <si>
    <t>3. Enter Site-Specific Hydrogeological Data</t>
  </si>
  <si>
    <t>Site Information</t>
  </si>
  <si>
    <t>Measured Soil TPH Concentration, mg/kg:</t>
  </si>
  <si>
    <t>Protective Soil Concentration, mg/kg</t>
  </si>
  <si>
    <t>Method</t>
  </si>
  <si>
    <t>Method B</t>
  </si>
  <si>
    <t>Method C</t>
  </si>
  <si>
    <t>Protection of Human Health (Soil Direct Contact)</t>
  </si>
  <si>
    <t>Protection of Ground Water Quality (Leaching)</t>
  </si>
  <si>
    <t>Method B for Potable Ground Water</t>
  </si>
  <si>
    <t>Protection of Surface Water</t>
  </si>
  <si>
    <t>NA</t>
  </si>
  <si>
    <t>1. Summary of Calculation Results</t>
  </si>
  <si>
    <t>Protective Soil Conc, mg/kg</t>
  </si>
  <si>
    <t>Does Measured Soil Conc Pass or Fail?</t>
  </si>
  <si>
    <t>Most Stringent?</t>
  </si>
  <si>
    <t>Protective Soil Concentration, TPH mg/kg</t>
  </si>
  <si>
    <t>Soil Criteria</t>
  </si>
  <si>
    <t>Protective Soil Concentration @Method B</t>
  </si>
  <si>
    <t>Protective Soil Concentration @Method C</t>
  </si>
  <si>
    <t>3. Results for Protection of Ground Water Quality (Leaching Pathway)</t>
  </si>
  <si>
    <t>Ground Water Criteria</t>
  </si>
  <si>
    <t>Protective Ground Water Concentration, ug/L</t>
  </si>
  <si>
    <t>Risk</t>
  </si>
  <si>
    <t>adusted</t>
  </si>
  <si>
    <t>Benzene MCL = 5 ug/L</t>
  </si>
  <si>
    <t>MTBE = 20 ug/L</t>
  </si>
  <si>
    <t>Yes or No</t>
  </si>
  <si>
    <t>soil tph</t>
  </si>
  <si>
    <t>criteria</t>
  </si>
  <si>
    <t>GW tph</t>
  </si>
  <si>
    <t>gw tph</t>
  </si>
  <si>
    <t>Protective Soil TPH Conc, mg/kg</t>
  </si>
  <si>
    <t>Protective Ground Water Concentration</t>
  </si>
  <si>
    <t>yes/NO</t>
  </si>
  <si>
    <t>pass/fail for CUL</t>
  </si>
  <si>
    <t>confirmation step</t>
  </si>
  <si>
    <t>RISK =</t>
  </si>
  <si>
    <t>TEST ADJUSTED CONDITION</t>
  </si>
  <si>
    <t>CALCULATE PROTECTIVE CONDITION</t>
  </si>
  <si>
    <t>TEST CURRENT CONDITION</t>
  </si>
  <si>
    <t>Measured TPH Soil Conc, mg/kg=</t>
  </si>
  <si>
    <t>RISK=</t>
  </si>
  <si>
    <t>Tested TPH Soil Conc, mg/kg=</t>
  </si>
  <si>
    <t>GW Cleanup Level</t>
  </si>
  <si>
    <t>HI = 1</t>
  </si>
  <si>
    <t>Protective GW TPH Conc, ug/L</t>
  </si>
  <si>
    <t>Protective TPH GW Conc, ug/L =</t>
  </si>
  <si>
    <t>Tested TPH GW Conc, ug/L=</t>
  </si>
  <si>
    <t>RISK @</t>
  </si>
  <si>
    <t>HI @</t>
  </si>
  <si>
    <t>Risk @</t>
  </si>
  <si>
    <t xml:space="preserve">Measured GW Conc </t>
  </si>
  <si>
    <t>2. Enter Ground Water Concentration Measured</t>
  </si>
  <si>
    <t>1. Enter Site Information</t>
  </si>
  <si>
    <t>Measured TPH  GW  Conc, ug/L =</t>
  </si>
  <si>
    <t>(Method B only) WAC 173-340-720</t>
  </si>
  <si>
    <t>Chemical of Concern or EC group</t>
  </si>
  <si>
    <t>B.  Worksheet for Calculating Potable Ground Water Cleanup Levels</t>
  </si>
  <si>
    <t>Tested TPH Soil Conc, mg/kg =</t>
  </si>
  <si>
    <t>Chemical of Concern or EC Group</t>
  </si>
  <si>
    <t>Predicted Conc @Well</t>
  </si>
  <si>
    <t>RISK @ Well</t>
  </si>
  <si>
    <t>Volumetric water content:</t>
  </si>
  <si>
    <t>DEDAILED MODEL RESULTS</t>
  </si>
  <si>
    <t xml:space="preserve">Total soil porosity: </t>
  </si>
  <si>
    <t>Soil bulk density measured:</t>
  </si>
  <si>
    <t>Fraction Organic Carbon:</t>
  </si>
  <si>
    <t>Dilution Factor:</t>
  </si>
  <si>
    <t>Site-Specific Hydrogeological Properties previously entered:</t>
  </si>
  <si>
    <t xml:space="preserve">Volumetric air content: </t>
  </si>
  <si>
    <t>RISK @ Well =</t>
  </si>
  <si>
    <t>HI @Well =</t>
  </si>
  <si>
    <r>
      <t>Q</t>
    </r>
    <r>
      <rPr>
        <i/>
        <vertAlign val="subscript"/>
        <sz val="10"/>
        <rFont val="Times New Roman"/>
        <family val="1"/>
      </rPr>
      <t>w</t>
    </r>
  </si>
  <si>
    <r>
      <t>Q</t>
    </r>
    <r>
      <rPr>
        <i/>
        <vertAlign val="subscript"/>
        <sz val="10"/>
        <rFont val="Times New Roman"/>
        <family val="1"/>
      </rPr>
      <t>a</t>
    </r>
  </si>
  <si>
    <r>
      <t>r</t>
    </r>
    <r>
      <rPr>
        <i/>
        <vertAlign val="subscript"/>
        <sz val="10"/>
        <rFont val="Times New Roman"/>
        <family val="1"/>
      </rPr>
      <t>b</t>
    </r>
  </si>
  <si>
    <r>
      <t>f</t>
    </r>
    <r>
      <rPr>
        <i/>
        <vertAlign val="subscript"/>
        <sz val="10"/>
        <rFont val="Times New Roman"/>
        <family val="1"/>
      </rPr>
      <t>oc</t>
    </r>
  </si>
  <si>
    <t>Initial Weighted Average MW of NAPL, g/mol:</t>
  </si>
  <si>
    <t>Equilibrated Weighted Average MW of NAPL, g/mol:</t>
  </si>
  <si>
    <t>Initial Weighted Average Density of NAPL, kg/L:</t>
  </si>
  <si>
    <t>Protective Potable Ground Water Concentration @Method B</t>
  </si>
  <si>
    <t>100% NAPL, mg/kg</t>
  </si>
  <si>
    <t>Toluene =1000 ug/L</t>
  </si>
  <si>
    <t>Total Xylenes = 1000 ug/L</t>
  </si>
  <si>
    <t>Ethylbenzene = 700 ug/L</t>
  </si>
  <si>
    <t xml:space="preserve">Pass or Fail? </t>
  </si>
  <si>
    <t xml:space="preserve">Tested TPH Soil Conc, mg/kg = </t>
  </si>
  <si>
    <t>Predicted Indoor Air Conc</t>
  </si>
  <si>
    <t>HQ @ Indoor Air</t>
  </si>
  <si>
    <t>RISK @ Indoor Air</t>
  </si>
  <si>
    <t>HI @ Indoor Air =</t>
  </si>
  <si>
    <t>RISK @ Indoor Air =</t>
  </si>
  <si>
    <r>
      <t>Predicted TPH Indoor Air Conc, ug/m</t>
    </r>
    <r>
      <rPr>
        <vertAlign val="superscript"/>
        <sz val="10"/>
        <rFont val="Times New Roman"/>
        <family val="1"/>
      </rPr>
      <t>3</t>
    </r>
    <r>
      <rPr>
        <sz val="10"/>
        <rFont val="Times New Roman"/>
        <family val="1"/>
      </rPr>
      <t xml:space="preserve"> = </t>
    </r>
  </si>
  <si>
    <t>Measured Soil Conc @dry basis</t>
  </si>
  <si>
    <t>Enter Air Background Levels</t>
  </si>
  <si>
    <t xml:space="preserve">Enter Vapor Attenuation Factor for all TPH components: </t>
  </si>
  <si>
    <t>Link to Ecology TCP Program's Other Tools</t>
  </si>
  <si>
    <t>Most Stringent Criterion</t>
  </si>
  <si>
    <t>TPH Conc, mg/kg</t>
  </si>
  <si>
    <t>TPH Conc, ug/L</t>
  </si>
  <si>
    <r>
      <t xml:space="preserve">A2 Soil Cleanup Levels: Calculation and Summary of Results. </t>
    </r>
    <r>
      <rPr>
        <b/>
        <sz val="16"/>
        <rFont val="Times New Roman"/>
        <family val="1"/>
      </rPr>
      <t xml:space="preserve"> </t>
    </r>
    <r>
      <rPr>
        <b/>
        <sz val="10"/>
        <rFont val="Times New Roman"/>
        <family val="1"/>
      </rPr>
      <t>Refer to WAC 173-340-720, 740, 745, 747, 750</t>
    </r>
  </si>
  <si>
    <t>Selected Criterion:</t>
  </si>
  <si>
    <t>Protctive TPH Soil Conc, mg/kg =</t>
  </si>
  <si>
    <t xml:space="preserve">Method B: Unrestricted  Land Use (WAC 173-340-740) </t>
  </si>
  <si>
    <t>Method C: Industrial Land Use (WAC 173-340-745)</t>
  </si>
  <si>
    <t>A2. 1C Worksheet for Calculating Soil Cleanup Levels for Protection of Human Health: (Soil Direct Contact Pathway)</t>
  </si>
  <si>
    <t>A2. 1B Worksheet for Calculating Soil Cleanup Levels for Protection of Human Health: (Soil Direct Contact Pathway)</t>
  </si>
  <si>
    <t>A2. 2 Worksheet for Calculating Soil Cleanup Level for the Protection of Ground Water Quality: (Leaching Pathway)</t>
  </si>
  <si>
    <t>WAC 173-340-740 and 747</t>
  </si>
  <si>
    <t>A2.3 Worksheet for Calculating Soil Cleanup Levels for the Protection of Air Quality: (Vapor Pathway)</t>
  </si>
  <si>
    <t>Method B: WAC 173-340-740 and 750</t>
  </si>
  <si>
    <t xml:space="preserve">CALCULATE PROTECTIVE CONDITION </t>
  </si>
  <si>
    <t>OR TEST ADJUSTED CONDITION</t>
  </si>
  <si>
    <r>
      <t xml:space="preserve">Volumetric NAPL Content, </t>
    </r>
    <r>
      <rPr>
        <i/>
        <sz val="11"/>
        <rFont val="Symbol"/>
        <family val="1"/>
      </rPr>
      <t>Q</t>
    </r>
    <r>
      <rPr>
        <i/>
        <vertAlign val="subscript"/>
        <sz val="9"/>
        <rFont val="Times New Roman"/>
        <family val="1"/>
      </rPr>
      <t>NAPL</t>
    </r>
    <r>
      <rPr>
        <sz val="9"/>
        <rFont val="Times New Roman"/>
        <family val="1"/>
      </rPr>
      <t xml:space="preserve"> :</t>
    </r>
  </si>
  <si>
    <r>
      <t xml:space="preserve">NAPL Saturation (%), </t>
    </r>
    <r>
      <rPr>
        <i/>
        <sz val="12"/>
        <rFont val="Symbol"/>
        <family val="1"/>
      </rPr>
      <t>Q</t>
    </r>
    <r>
      <rPr>
        <i/>
        <vertAlign val="subscript"/>
        <sz val="9"/>
        <rFont val="Times New Roman"/>
        <family val="1"/>
      </rPr>
      <t>NAPL</t>
    </r>
    <r>
      <rPr>
        <i/>
        <sz val="9"/>
        <rFont val="Times New Roman"/>
        <family val="1"/>
      </rPr>
      <t>/n</t>
    </r>
    <r>
      <rPr>
        <sz val="9"/>
        <rFont val="Times New Roman"/>
        <family val="1"/>
      </rPr>
      <t>:</t>
    </r>
  </si>
  <si>
    <t>Naphthalene</t>
  </si>
  <si>
    <t>1-Methyl Naphthalene</t>
  </si>
  <si>
    <t>91-20-3</t>
  </si>
  <si>
    <t>90-12-00</t>
  </si>
  <si>
    <t>91-57-6</t>
  </si>
  <si>
    <t>2-Methyl Naphthalene</t>
  </si>
  <si>
    <t>sum of mass (%)</t>
  </si>
  <si>
    <t>Predicted TPH @well</t>
  </si>
  <si>
    <t>Note:  Please refer to "CLARC" for the source of Database</t>
  </si>
  <si>
    <t>SUMMARY OF PROTECTIVE GW CONCENTRATIONS</t>
  </si>
  <si>
    <r>
      <t xml:space="preserve">Oral </t>
    </r>
    <r>
      <rPr>
        <sz val="12"/>
        <rFont val="Arial"/>
        <family val="2"/>
      </rPr>
      <t>Rfd</t>
    </r>
    <r>
      <rPr>
        <sz val="12"/>
        <rFont val="Arial"/>
        <family val="2"/>
      </rPr>
      <t xml:space="preserve"> set by DOE</t>
    </r>
  </si>
  <si>
    <t xml:space="preserve">Volumetric water content: </t>
  </si>
  <si>
    <t>Volumetric air content:</t>
  </si>
  <si>
    <t xml:space="preserve">Soil bulk density measured: </t>
  </si>
  <si>
    <r>
      <t xml:space="preserve">A1 Soil Cleanup Levels: Worksheet for Soil Data Entry: </t>
    </r>
    <r>
      <rPr>
        <b/>
        <sz val="10"/>
        <rFont val="Times New Roman"/>
        <family val="1"/>
      </rPr>
      <t>Refer to WAC 173-340-720, 740,745, 747, 750</t>
    </r>
  </si>
  <si>
    <t>pah1</t>
  </si>
  <si>
    <t>pah2</t>
  </si>
  <si>
    <t>pah3</t>
  </si>
  <si>
    <t>pah4</t>
  </si>
  <si>
    <t>pah5</t>
  </si>
  <si>
    <t>pah6</t>
  </si>
  <si>
    <t>pah7</t>
  </si>
  <si>
    <t>overall criteria used</t>
  </si>
  <si>
    <t>Risk of Benzene= 1E-6</t>
  </si>
  <si>
    <t>Total Risk=1E-5</t>
  </si>
  <si>
    <t>1/VAF</t>
  </si>
  <si>
    <t>Warning: This Worksheet is provided for informational purposes only!  Background levels entered are not considered for the calculations.</t>
  </si>
  <si>
    <t>Usually, computation will take less than 10 seconds with Pentium 1.3 GHZ (256MB Memory);</t>
  </si>
  <si>
    <t>Revised Properties of Chemicals commonly found at Petroleum Contaminated Sites</t>
  </si>
  <si>
    <t>Dibenz(a,h)anthracene</t>
  </si>
  <si>
    <t>With Measured Soil Conc</t>
  </si>
  <si>
    <t>For</t>
  </si>
  <si>
    <t xml:space="preserve">For </t>
  </si>
  <si>
    <t>YES</t>
  </si>
  <si>
    <t>EDB</t>
  </si>
  <si>
    <t>EDC</t>
  </si>
  <si>
    <t>Fail</t>
  </si>
  <si>
    <t>NO</t>
  </si>
  <si>
    <t>Risk of cPAHs mixture= 1E-6</t>
  </si>
  <si>
    <t>Risk of cPAHs mixture= 1E-5</t>
  </si>
  <si>
    <t>Method/Goal</t>
  </si>
  <si>
    <t>4. Target TPH Ground Water Concentation (if adjusted)</t>
  </si>
  <si>
    <t>concentration, enter adjusted value here:</t>
  </si>
  <si>
    <t>Protection of Method B Ground Water Quality (Leaching)</t>
  </si>
  <si>
    <t>Potable GW: Human Health Protection</t>
  </si>
  <si>
    <t>3.1. Protection of Potable Ground Water Quality (Method B): Human Health Protection</t>
  </si>
  <si>
    <t>Protection of Soil Direct Contact: Human Health</t>
  </si>
  <si>
    <t>2. Results for Protection of Soil Direct Contact Pathway: Human Health</t>
  </si>
  <si>
    <r>
      <t xml:space="preserve">Target Ground Water TPH Conc, ug/L </t>
    </r>
    <r>
      <rPr>
        <sz val="10"/>
        <rFont val="Symbol"/>
        <family val="1"/>
      </rPr>
      <t>Þ</t>
    </r>
  </si>
  <si>
    <t>Target Ground Water TPH conc adjusted previously if any:</t>
  </si>
  <si>
    <t xml:space="preserve">If you adjusted the target TPH ground water </t>
  </si>
  <si>
    <t>3.2  Protection of Ground Water Quality for TPH Ground Water Concentration previously adjusted and entered</t>
  </si>
  <si>
    <t>Pass</t>
  </si>
  <si>
    <r>
      <t xml:space="preserve">S </t>
    </r>
    <r>
      <rPr>
        <sz val="8"/>
        <rFont val="Times New Roman"/>
        <family val="1"/>
      </rPr>
      <t>Risk=</t>
    </r>
  </si>
  <si>
    <r>
      <t>S</t>
    </r>
    <r>
      <rPr>
        <sz val="8"/>
        <rFont val="Times New Roman"/>
        <family val="1"/>
      </rPr>
      <t xml:space="preserve"> Risk=</t>
    </r>
  </si>
  <si>
    <r>
      <t>S</t>
    </r>
    <r>
      <rPr>
        <sz val="9"/>
        <rFont val="Times New Roman"/>
        <family val="1"/>
      </rPr>
      <t xml:space="preserve"> Risk=</t>
    </r>
  </si>
  <si>
    <r>
      <t>S</t>
    </r>
    <r>
      <rPr>
        <sz val="5.5"/>
        <rFont val="Times New Roman"/>
        <family val="1"/>
      </rPr>
      <t xml:space="preserve"> </t>
    </r>
    <r>
      <rPr>
        <sz val="8"/>
        <rFont val="Times New Roman"/>
        <family val="1"/>
      </rPr>
      <t>Risk=</t>
    </r>
  </si>
  <si>
    <t>@Total Risk =1E-5</t>
  </si>
  <si>
    <t>4-Phase Model</t>
  </si>
  <si>
    <t>Yes!</t>
  </si>
  <si>
    <t>@ Total Risk=1E-5</t>
  </si>
  <si>
    <t>ooo</t>
  </si>
  <si>
    <t>Revised on December 2007: Red colored and italic-typed values are revisions.</t>
  </si>
  <si>
    <r>
      <t>MTCATPH11.1:  December 2007 -</t>
    </r>
    <r>
      <rPr>
        <b/>
        <sz val="8"/>
        <color indexed="9"/>
        <rFont val="Arial"/>
        <family val="2"/>
      </rPr>
      <t xml:space="preserve"> Compatible with MS Office Excel 2007</t>
    </r>
  </si>
  <si>
    <t xml:space="preserve">Protective TPH Soil Conc, mg/kg = </t>
  </si>
  <si>
    <t xml:space="preserve">Protective TPH GW Conc, ug/L =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</si>
</sst>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000"/>
    <numFmt numFmtId="166" formatCode="0.000E+00"/>
    <numFmt numFmtId="167" formatCode="0.0"/>
    <numFmt numFmtId="168" formatCode="0.000"/>
    <numFmt numFmtId="169" formatCode="0.0E+00"/>
    <numFmt numFmtId="170" formatCode="0.00000"/>
    <numFmt numFmtId="171" formatCode="0.00000E+00"/>
    <numFmt numFmtId="172" formatCode="0.0000E+00"/>
    <numFmt numFmtId="173" formatCode="0.0%"/>
    <numFmt numFmtId="174" formatCode="0.000%"/>
    <numFmt numFmtId="175" formatCode="0.0000%"/>
    <numFmt numFmtId="176" formatCode="0.000000%"/>
    <numFmt numFmtId="177" formatCode="0.000000000"/>
    <numFmt numFmtId="178" formatCode="0.E+00"/>
    <numFmt numFmtId="179" formatCode="dd\-mmm\-yy"/>
    <numFmt numFmtId="180" formatCode="mm/dd/yy"/>
    <numFmt numFmtId="181" formatCode="0.0000000%"/>
    <numFmt numFmtId="182" formatCode="#,##0.000"/>
    <numFmt numFmtId="183" formatCode="0.000000"/>
    <numFmt numFmtId="184" formatCode="&quot;Yes&quot;;&quot;Yes&quot;;&quot;No&quot;"/>
    <numFmt numFmtId="185" formatCode="&quot;True&quot;;&quot;True&quot;;&quot;False&quot;"/>
    <numFmt numFmtId="186" formatCode="&quot;On&quot;;&quot;On&quot;;&quot;Off&quot;"/>
    <numFmt numFmtId="187" formatCode="[$€-2]\ #,##0.00_);[Red]\([$€-2]\ #,##0.00\)"/>
    <numFmt numFmtId="188" formatCode="0.0000000"/>
    <numFmt numFmtId="189" formatCode="&quot;$&quot;#,##0.0"/>
  </numFmts>
  <fonts count="223">
    <font>
      <sz val="10"/>
      <color indexed="12"/>
      <name val="Arial"/>
      <family val="0"/>
    </font>
    <font>
      <sz val="10"/>
      <name val="Arial"/>
      <family val="0"/>
    </font>
    <font>
      <b/>
      <sz val="10"/>
      <name val="Arial"/>
      <family val="2"/>
    </font>
    <font>
      <b/>
      <sz val="12"/>
      <name val="Arial"/>
      <family val="2"/>
    </font>
    <font>
      <vertAlign val="subscript"/>
      <sz val="10"/>
      <name val="Arial"/>
      <family val="2"/>
    </font>
    <font>
      <b/>
      <sz val="18"/>
      <name val="Arial"/>
      <family val="2"/>
    </font>
    <font>
      <sz val="10"/>
      <name val="Times New Roman"/>
      <family val="1"/>
    </font>
    <font>
      <b/>
      <i/>
      <u val="single"/>
      <sz val="10"/>
      <name val="Times New Roman"/>
      <family val="1"/>
    </font>
    <font>
      <b/>
      <sz val="10"/>
      <name val="Times New Roman"/>
      <family val="1"/>
    </font>
    <font>
      <b/>
      <sz val="14"/>
      <name val="Arial"/>
      <family val="2"/>
    </font>
    <font>
      <b/>
      <sz val="12"/>
      <name val="Times New Roman"/>
      <family val="1"/>
    </font>
    <font>
      <b/>
      <i/>
      <sz val="12"/>
      <color indexed="14"/>
      <name val="Arial"/>
      <family val="2"/>
    </font>
    <font>
      <sz val="10"/>
      <name val="Symbol"/>
      <family val="1"/>
    </font>
    <font>
      <u val="single"/>
      <sz val="10"/>
      <name val="Arial"/>
      <family val="2"/>
    </font>
    <font>
      <sz val="12"/>
      <name val="Arial"/>
      <family val="2"/>
    </font>
    <font>
      <sz val="12"/>
      <name val="Symbol"/>
      <family val="1"/>
    </font>
    <font>
      <sz val="8"/>
      <name val="Arial"/>
      <family val="2"/>
    </font>
    <font>
      <sz val="9"/>
      <name val="Arial"/>
      <family val="2"/>
    </font>
    <font>
      <b/>
      <sz val="9"/>
      <name val="Arial"/>
      <family val="2"/>
    </font>
    <font>
      <sz val="8"/>
      <name val="Times New Roman"/>
      <family val="1"/>
    </font>
    <font>
      <b/>
      <sz val="8"/>
      <name val="Times New Roman"/>
      <family val="1"/>
    </font>
    <font>
      <sz val="10"/>
      <color indexed="10"/>
      <name val="Arial"/>
      <family val="2"/>
    </font>
    <font>
      <b/>
      <i/>
      <u val="single"/>
      <sz val="14"/>
      <name val="Times New Roman"/>
      <family val="1"/>
    </font>
    <font>
      <sz val="14"/>
      <name val="Times New Roman"/>
      <family val="1"/>
    </font>
    <font>
      <b/>
      <sz val="12"/>
      <color indexed="14"/>
      <name val="Arial"/>
      <family val="2"/>
    </font>
    <font>
      <b/>
      <i/>
      <sz val="10"/>
      <color indexed="10"/>
      <name val="Arial"/>
      <family val="2"/>
    </font>
    <font>
      <sz val="9"/>
      <name val="Times New Roman"/>
      <family val="1"/>
    </font>
    <font>
      <b/>
      <sz val="9"/>
      <name val="Times New Roman"/>
      <family val="1"/>
    </font>
    <font>
      <vertAlign val="superscript"/>
      <sz val="9"/>
      <name val="Times New Roman"/>
      <family val="1"/>
    </font>
    <font>
      <sz val="10"/>
      <name val="Helv"/>
      <family val="0"/>
    </font>
    <font>
      <b/>
      <u val="single"/>
      <sz val="10"/>
      <name val="Arial"/>
      <family val="2"/>
    </font>
    <font>
      <i/>
      <sz val="12"/>
      <name val="Times New Roman"/>
      <family val="1"/>
    </font>
    <font>
      <b/>
      <sz val="10"/>
      <color indexed="10"/>
      <name val="Arial"/>
      <family val="2"/>
    </font>
    <font>
      <b/>
      <sz val="12"/>
      <color indexed="8"/>
      <name val="Times New Roman"/>
      <family val="1"/>
    </font>
    <font>
      <b/>
      <i/>
      <sz val="10"/>
      <color indexed="8"/>
      <name val="Arial"/>
      <family val="2"/>
    </font>
    <font>
      <sz val="8"/>
      <name val="Tahoma"/>
      <family val="2"/>
    </font>
    <font>
      <b/>
      <i/>
      <sz val="14"/>
      <color indexed="14"/>
      <name val="Arial"/>
      <family val="2"/>
    </font>
    <font>
      <b/>
      <sz val="10"/>
      <color indexed="14"/>
      <name val="Arial"/>
      <family val="2"/>
    </font>
    <font>
      <sz val="9"/>
      <name val="Symbol"/>
      <family val="1"/>
    </font>
    <font>
      <b/>
      <u val="single"/>
      <sz val="10"/>
      <name val="Times New Roman"/>
      <family val="1"/>
    </font>
    <font>
      <sz val="12"/>
      <name val="Times New Roman"/>
      <family val="1"/>
    </font>
    <font>
      <b/>
      <sz val="10"/>
      <color indexed="10"/>
      <name val="Palatino"/>
      <family val="1"/>
    </font>
    <font>
      <b/>
      <sz val="14"/>
      <name val="Times New Roman"/>
      <family val="1"/>
    </font>
    <font>
      <sz val="9"/>
      <color indexed="10"/>
      <name val="Times New Roman"/>
      <family val="1"/>
    </font>
    <font>
      <b/>
      <sz val="14"/>
      <color indexed="10"/>
      <name val="Times New Roman"/>
      <family val="1"/>
    </font>
    <font>
      <b/>
      <u val="single"/>
      <sz val="16"/>
      <color indexed="10"/>
      <name val="Palatino"/>
      <family val="1"/>
    </font>
    <font>
      <i/>
      <sz val="8"/>
      <color indexed="10"/>
      <name val="Arial"/>
      <family val="2"/>
    </font>
    <font>
      <b/>
      <sz val="10"/>
      <color indexed="10"/>
      <name val="Times New Roman"/>
      <family val="1"/>
    </font>
    <font>
      <sz val="10"/>
      <color indexed="10"/>
      <name val="Times New Roman"/>
      <family val="1"/>
    </font>
    <font>
      <u val="single"/>
      <sz val="10"/>
      <name val="Times New Roman"/>
      <family val="1"/>
    </font>
    <font>
      <sz val="8"/>
      <color indexed="8"/>
      <name val="Times New Roman"/>
      <family val="1"/>
    </font>
    <font>
      <b/>
      <i/>
      <sz val="8"/>
      <color indexed="8"/>
      <name val="Times New Roman"/>
      <family val="1"/>
    </font>
    <font>
      <b/>
      <i/>
      <sz val="10"/>
      <color indexed="10"/>
      <name val="Times New Roman"/>
      <family val="1"/>
    </font>
    <font>
      <i/>
      <sz val="9"/>
      <color indexed="10"/>
      <name val="Times New Roman"/>
      <family val="1"/>
    </font>
    <font>
      <b/>
      <sz val="9"/>
      <color indexed="10"/>
      <name val="Times New Roman"/>
      <family val="1"/>
    </font>
    <font>
      <sz val="10"/>
      <color indexed="8"/>
      <name val="Times New Roman"/>
      <family val="1"/>
    </font>
    <font>
      <i/>
      <sz val="11"/>
      <color indexed="8"/>
      <name val="Times New Roman"/>
      <family val="1"/>
    </font>
    <font>
      <b/>
      <i/>
      <sz val="10"/>
      <color indexed="8"/>
      <name val="Times New Roman"/>
      <family val="1"/>
    </font>
    <font>
      <sz val="8"/>
      <color indexed="10"/>
      <name val="Times New Roman"/>
      <family val="1"/>
    </font>
    <font>
      <b/>
      <i/>
      <u val="single"/>
      <sz val="8"/>
      <name val="Times New Roman"/>
      <family val="1"/>
    </font>
    <font>
      <i/>
      <sz val="9"/>
      <color indexed="8"/>
      <name val="Times New Roman"/>
      <family val="1"/>
    </font>
    <font>
      <b/>
      <i/>
      <u val="single"/>
      <sz val="12"/>
      <name val="Times New Roman"/>
      <family val="1"/>
    </font>
    <font>
      <b/>
      <sz val="10"/>
      <color indexed="8"/>
      <name val="Times New Roman"/>
      <family val="1"/>
    </font>
    <font>
      <sz val="14"/>
      <name val="Arial"/>
      <family val="2"/>
    </font>
    <font>
      <b/>
      <i/>
      <sz val="12"/>
      <color indexed="10"/>
      <name val="Times New Roman"/>
      <family val="1"/>
    </font>
    <font>
      <b/>
      <i/>
      <sz val="12"/>
      <name val="Arial"/>
      <family val="2"/>
    </font>
    <font>
      <b/>
      <sz val="10"/>
      <color indexed="9"/>
      <name val="Arial"/>
      <family val="2"/>
    </font>
    <font>
      <vertAlign val="superscript"/>
      <sz val="8"/>
      <name val="Times New Roman"/>
      <family val="1"/>
    </font>
    <font>
      <b/>
      <i/>
      <sz val="12"/>
      <name val="Times New Roman"/>
      <family val="1"/>
    </font>
    <font>
      <b/>
      <u val="single"/>
      <sz val="9"/>
      <name val="Times New Roman"/>
      <family val="1"/>
    </font>
    <font>
      <i/>
      <sz val="9"/>
      <name val="Times New Roman"/>
      <family val="1"/>
    </font>
    <font>
      <i/>
      <vertAlign val="subscript"/>
      <sz val="9"/>
      <name val="Times New Roman"/>
      <family val="1"/>
    </font>
    <font>
      <b/>
      <i/>
      <sz val="12"/>
      <color indexed="8"/>
      <name val="Times New Roman"/>
      <family val="1"/>
    </font>
    <font>
      <vertAlign val="superscript"/>
      <sz val="10"/>
      <name val="Times New Roman"/>
      <family val="1"/>
    </font>
    <font>
      <vertAlign val="subscript"/>
      <sz val="10"/>
      <name val="Times New Roman"/>
      <family val="1"/>
    </font>
    <font>
      <b/>
      <sz val="18"/>
      <name val="Times New Roman"/>
      <family val="1"/>
    </font>
    <font>
      <u val="single"/>
      <sz val="9"/>
      <name val="Times New Roman"/>
      <family val="1"/>
    </font>
    <font>
      <b/>
      <sz val="9"/>
      <color indexed="8"/>
      <name val="Times New Roman"/>
      <family val="1"/>
    </font>
    <font>
      <sz val="9"/>
      <color indexed="8"/>
      <name val="Times New Roman"/>
      <family val="1"/>
    </font>
    <font>
      <b/>
      <i/>
      <sz val="14"/>
      <name val="Times New Roman"/>
      <family val="1"/>
    </font>
    <font>
      <b/>
      <i/>
      <vertAlign val="subscript"/>
      <sz val="14"/>
      <name val="Times New Roman"/>
      <family val="1"/>
    </font>
    <font>
      <b/>
      <sz val="20"/>
      <color indexed="8"/>
      <name val="Times New Roman"/>
      <family val="1"/>
    </font>
    <font>
      <b/>
      <sz val="10"/>
      <color indexed="42"/>
      <name val="Times New Roman"/>
      <family val="1"/>
    </font>
    <font>
      <sz val="8"/>
      <color indexed="42"/>
      <name val="Times New Roman"/>
      <family val="1"/>
    </font>
    <font>
      <sz val="11"/>
      <color indexed="10"/>
      <name val="Times New Roman"/>
      <family val="1"/>
    </font>
    <font>
      <b/>
      <u val="single"/>
      <sz val="12"/>
      <name val="Arial"/>
      <family val="2"/>
    </font>
    <font>
      <b/>
      <i/>
      <sz val="11"/>
      <color indexed="10"/>
      <name val="Times New Roman"/>
      <family val="1"/>
    </font>
    <font>
      <b/>
      <i/>
      <sz val="11"/>
      <name val="Arial"/>
      <family val="2"/>
    </font>
    <font>
      <i/>
      <sz val="11"/>
      <color indexed="14"/>
      <name val="Times New Roman"/>
      <family val="1"/>
    </font>
    <font>
      <i/>
      <sz val="11"/>
      <color indexed="14"/>
      <name val="Arial"/>
      <family val="2"/>
    </font>
    <font>
      <b/>
      <sz val="11"/>
      <name val="Arial"/>
      <family val="2"/>
    </font>
    <font>
      <i/>
      <sz val="9"/>
      <name val="Symbol"/>
      <family val="1"/>
    </font>
    <font>
      <u val="single"/>
      <sz val="12"/>
      <name val="Arial"/>
      <family val="2"/>
    </font>
    <font>
      <sz val="16"/>
      <name val="Arial"/>
      <family val="2"/>
    </font>
    <font>
      <vertAlign val="superscript"/>
      <sz val="10"/>
      <name val="Arial"/>
      <family val="2"/>
    </font>
    <font>
      <b/>
      <i/>
      <sz val="8"/>
      <color indexed="10"/>
      <name val="Times New Roman"/>
      <family val="1"/>
    </font>
    <font>
      <i/>
      <sz val="8"/>
      <name val="Times New Roman"/>
      <family val="1"/>
    </font>
    <font>
      <b/>
      <i/>
      <u val="single"/>
      <sz val="9"/>
      <name val="Times New Roman"/>
      <family val="1"/>
    </font>
    <font>
      <b/>
      <i/>
      <sz val="9"/>
      <color indexed="8"/>
      <name val="Times New Roman"/>
      <family val="1"/>
    </font>
    <font>
      <b/>
      <sz val="12"/>
      <name val="Symbol"/>
      <family val="1"/>
    </font>
    <font>
      <b/>
      <vertAlign val="subscript"/>
      <sz val="12"/>
      <name val="Symbol"/>
      <family val="1"/>
    </font>
    <font>
      <b/>
      <vertAlign val="subscript"/>
      <sz val="12"/>
      <name val="Arial"/>
      <family val="2"/>
    </font>
    <font>
      <u val="single"/>
      <sz val="8"/>
      <name val="Arial"/>
      <family val="2"/>
    </font>
    <font>
      <b/>
      <sz val="16"/>
      <name val="Times New Roman"/>
      <family val="1"/>
    </font>
    <font>
      <u val="single"/>
      <sz val="10"/>
      <color indexed="14"/>
      <name val="MS Sans Serif"/>
      <family val="2"/>
    </font>
    <font>
      <u val="single"/>
      <sz val="10"/>
      <color indexed="12"/>
      <name val="MS Sans Serif"/>
      <family val="2"/>
    </font>
    <font>
      <sz val="10"/>
      <name val="Geneva"/>
      <family val="0"/>
    </font>
    <font>
      <sz val="8"/>
      <name val="Geneva"/>
      <family val="0"/>
    </font>
    <font>
      <b/>
      <sz val="8"/>
      <name val="Tahoma"/>
      <family val="2"/>
    </font>
    <font>
      <vertAlign val="subscript"/>
      <sz val="8"/>
      <name val="Times New Roman"/>
      <family val="1"/>
    </font>
    <font>
      <b/>
      <sz val="10"/>
      <name val="Tahoma"/>
      <family val="2"/>
    </font>
    <font>
      <sz val="10"/>
      <name val="Tahoma"/>
      <family val="2"/>
    </font>
    <font>
      <sz val="8.5"/>
      <name val="Times New Roman"/>
      <family val="1"/>
    </font>
    <font>
      <b/>
      <sz val="8"/>
      <name val="Arial"/>
      <family val="2"/>
    </font>
    <font>
      <sz val="8"/>
      <color indexed="41"/>
      <name val="Times New Roman"/>
      <family val="1"/>
    </font>
    <font>
      <sz val="10"/>
      <color indexed="41"/>
      <name val="Times New Roman"/>
      <family val="1"/>
    </font>
    <font>
      <sz val="12"/>
      <color indexed="10"/>
      <name val="Arial"/>
      <family val="2"/>
    </font>
    <font>
      <b/>
      <sz val="12"/>
      <color indexed="10"/>
      <name val="Arial"/>
      <family val="2"/>
    </font>
    <font>
      <b/>
      <u val="single"/>
      <sz val="13"/>
      <color indexed="40"/>
      <name val="Palatino"/>
      <family val="1"/>
    </font>
    <font>
      <u val="single"/>
      <sz val="13"/>
      <color indexed="40"/>
      <name val="Arial"/>
      <family val="2"/>
    </font>
    <font>
      <b/>
      <sz val="11"/>
      <color indexed="11"/>
      <name val="Times New Roman"/>
      <family val="1"/>
    </font>
    <font>
      <b/>
      <u val="single"/>
      <sz val="8"/>
      <name val="Times New Roman"/>
      <family val="1"/>
    </font>
    <font>
      <sz val="8.5"/>
      <name val="Arial"/>
      <family val="2"/>
    </font>
    <font>
      <sz val="10"/>
      <color indexed="16"/>
      <name val="Arial"/>
      <family val="2"/>
    </font>
    <font>
      <b/>
      <sz val="9"/>
      <color indexed="17"/>
      <name val="Arial"/>
      <family val="2"/>
    </font>
    <font>
      <i/>
      <sz val="10"/>
      <color indexed="10"/>
      <name val="Times New Roman"/>
      <family val="1"/>
    </font>
    <font>
      <sz val="11"/>
      <name val="Times New Roman"/>
      <family val="1"/>
    </font>
    <font>
      <i/>
      <sz val="10"/>
      <name val="Times New Roman"/>
      <family val="1"/>
    </font>
    <font>
      <b/>
      <sz val="13"/>
      <name val="Times New Roman"/>
      <family val="1"/>
    </font>
    <font>
      <i/>
      <sz val="10"/>
      <color indexed="8"/>
      <name val="Times New Roman"/>
      <family val="1"/>
    </font>
    <font>
      <i/>
      <sz val="10"/>
      <name val="Symbol"/>
      <family val="1"/>
    </font>
    <font>
      <i/>
      <vertAlign val="subscript"/>
      <sz val="10"/>
      <name val="Times New Roman"/>
      <family val="1"/>
    </font>
    <font>
      <sz val="7.5"/>
      <name val="Arial"/>
      <family val="2"/>
    </font>
    <font>
      <b/>
      <i/>
      <sz val="9"/>
      <color indexed="10"/>
      <name val="Times New Roman"/>
      <family val="1"/>
    </font>
    <font>
      <u val="single"/>
      <sz val="8"/>
      <color indexed="9"/>
      <name val="MS Sans Serif"/>
      <family val="2"/>
    </font>
    <font>
      <i/>
      <sz val="9"/>
      <color indexed="63"/>
      <name val="Arial"/>
      <family val="2"/>
    </font>
    <font>
      <b/>
      <u val="single"/>
      <sz val="9"/>
      <name val="Arial"/>
      <family val="2"/>
    </font>
    <font>
      <i/>
      <sz val="11"/>
      <name val="Symbol"/>
      <family val="1"/>
    </font>
    <font>
      <i/>
      <sz val="12"/>
      <name val="Symbol"/>
      <family val="1"/>
    </font>
    <font>
      <b/>
      <sz val="10"/>
      <color indexed="20"/>
      <name val="Times New Roman"/>
      <family val="1"/>
    </font>
    <font>
      <b/>
      <sz val="11"/>
      <color indexed="17"/>
      <name val="Arial"/>
      <family val="2"/>
    </font>
    <font>
      <b/>
      <i/>
      <sz val="14"/>
      <name val="Symbol"/>
      <family val="1"/>
    </font>
    <font>
      <u val="single"/>
      <sz val="12"/>
      <color indexed="16"/>
      <name val="MS Sans Serif"/>
      <family val="2"/>
    </font>
    <font>
      <u val="single"/>
      <sz val="9"/>
      <name val="Arial"/>
      <family val="2"/>
    </font>
    <font>
      <i/>
      <sz val="12"/>
      <name val="Arial"/>
      <family val="2"/>
    </font>
    <font>
      <b/>
      <i/>
      <sz val="8"/>
      <name val="Arial"/>
      <family val="2"/>
    </font>
    <font>
      <b/>
      <i/>
      <vertAlign val="subscript"/>
      <sz val="8"/>
      <name val="Arial"/>
      <family val="2"/>
    </font>
    <font>
      <sz val="18"/>
      <name val="Times New Roman"/>
      <family val="1"/>
    </font>
    <font>
      <i/>
      <sz val="8"/>
      <color indexed="10"/>
      <name val="Times New Roman"/>
      <family val="1"/>
    </font>
    <font>
      <b/>
      <u val="single"/>
      <sz val="8"/>
      <name val="Arial"/>
      <family val="2"/>
    </font>
    <font>
      <b/>
      <i/>
      <sz val="14"/>
      <color indexed="10"/>
      <name val="Arial"/>
      <family val="2"/>
    </font>
    <font>
      <sz val="7"/>
      <name val="Arial"/>
      <family val="2"/>
    </font>
    <font>
      <b/>
      <i/>
      <u val="single"/>
      <sz val="11"/>
      <name val="Times New Roman"/>
      <family val="1"/>
    </font>
    <font>
      <b/>
      <sz val="7"/>
      <color indexed="8"/>
      <name val="Arial"/>
      <family val="2"/>
    </font>
    <font>
      <sz val="8"/>
      <name val="Symbol"/>
      <family val="1"/>
    </font>
    <font>
      <sz val="5.5"/>
      <name val="Times New Roman"/>
      <family val="1"/>
    </font>
    <font>
      <sz val="12"/>
      <color indexed="8"/>
      <name val="Times New Roman"/>
      <family val="1"/>
    </font>
    <font>
      <sz val="11"/>
      <color indexed="8"/>
      <name val="Times New Roman"/>
      <family val="1"/>
    </font>
    <font>
      <sz val="23"/>
      <color indexed="8"/>
      <name val="Times New Roman"/>
      <family val="1"/>
    </font>
    <font>
      <sz val="6.4"/>
      <color indexed="8"/>
      <name val="Times New Roman"/>
      <family val="1"/>
    </font>
    <font>
      <sz val="14.75"/>
      <color indexed="8"/>
      <name val="Times New Roman"/>
      <family val="1"/>
    </font>
    <font>
      <sz val="10.5"/>
      <color indexed="8"/>
      <name val="Times New Roman"/>
      <family val="1"/>
    </font>
    <font>
      <sz val="13.55"/>
      <color indexed="8"/>
      <name val="Times New Roman"/>
      <family val="1"/>
    </font>
    <font>
      <sz val="23.75"/>
      <color indexed="8"/>
      <name val="Arial"/>
      <family val="2"/>
    </font>
    <font>
      <sz val="8"/>
      <color indexed="8"/>
      <name val="Arial"/>
      <family val="2"/>
    </font>
    <font>
      <sz val="7.35"/>
      <color indexed="8"/>
      <name val="Arial"/>
      <family val="2"/>
    </font>
    <font>
      <sz val="28.25"/>
      <color indexed="8"/>
      <name val="Arial"/>
      <family val="2"/>
    </font>
    <font>
      <sz val="7.25"/>
      <color indexed="8"/>
      <name val="Times New Roman"/>
      <family val="1"/>
    </font>
    <font>
      <sz val="10.1"/>
      <color indexed="8"/>
      <name val="Arial"/>
      <family val="2"/>
    </font>
    <font>
      <sz val="26"/>
      <color indexed="8"/>
      <name val="Times New Roman"/>
      <family val="1"/>
    </font>
    <font>
      <sz val="11.75"/>
      <color indexed="8"/>
      <name val="Times New Roman"/>
      <family val="1"/>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9"/>
      <color indexed="22"/>
      <name val="Times New Roman"/>
      <family val="1"/>
    </font>
    <font>
      <b/>
      <sz val="9"/>
      <color indexed="22"/>
      <name val="Times New Roman"/>
      <family val="1"/>
    </font>
    <font>
      <b/>
      <u val="single"/>
      <sz val="12"/>
      <color indexed="22"/>
      <name val="Times New Roman"/>
      <family val="1"/>
    </font>
    <font>
      <b/>
      <sz val="10"/>
      <color indexed="22"/>
      <name val="Times New Roman"/>
      <family val="1"/>
    </font>
    <font>
      <sz val="9"/>
      <color indexed="20"/>
      <name val="Arial"/>
      <family val="2"/>
    </font>
    <font>
      <sz val="10"/>
      <color indexed="8"/>
      <name val="Arial"/>
      <family val="2"/>
    </font>
    <font>
      <b/>
      <sz val="10"/>
      <color indexed="8"/>
      <name val="Arial"/>
      <family val="2"/>
    </font>
    <font>
      <sz val="9"/>
      <color indexed="8"/>
      <name val="Arial"/>
      <family val="2"/>
    </font>
    <font>
      <b/>
      <sz val="14.75"/>
      <color indexed="8"/>
      <name val="Times New Roman"/>
      <family val="1"/>
    </font>
    <font>
      <b/>
      <sz val="15"/>
      <color indexed="8"/>
      <name val="Times New Roman"/>
      <family val="1"/>
    </font>
    <font>
      <b/>
      <sz val="16"/>
      <color indexed="8"/>
      <name val="Times New Roman"/>
      <family val="1"/>
    </font>
    <font>
      <b/>
      <sz val="14.5"/>
      <color indexed="8"/>
      <name val="Times New Roman"/>
      <family val="1"/>
    </font>
    <font>
      <b/>
      <sz val="9"/>
      <color indexed="8"/>
      <name val="Arial"/>
      <family val="2"/>
    </font>
    <font>
      <b/>
      <sz val="12"/>
      <color indexed="8"/>
      <name val="Arial"/>
      <family val="2"/>
    </font>
    <font>
      <b/>
      <sz val="15.75"/>
      <color indexed="8"/>
      <name val="Arial"/>
      <family val="2"/>
    </font>
    <font>
      <b/>
      <sz val="11.75"/>
      <color indexed="8"/>
      <name val="Times New Roman"/>
      <family val="1"/>
    </font>
    <font>
      <b/>
      <sz val="15.2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42"/>
        <bgColor indexed="64"/>
      </patternFill>
    </fill>
    <fill>
      <patternFill patternType="solid">
        <fgColor indexed="8"/>
        <bgColor indexed="64"/>
      </patternFill>
    </fill>
    <fill>
      <patternFill patternType="solid">
        <fgColor indexed="55"/>
        <bgColor indexed="64"/>
      </patternFill>
    </fill>
    <fill>
      <patternFill patternType="solid">
        <fgColor indexed="41"/>
        <bgColor indexed="64"/>
      </patternFill>
    </fill>
    <fill>
      <patternFill patternType="solid">
        <fgColor indexed="15"/>
        <bgColor indexed="64"/>
      </patternFill>
    </fill>
    <fill>
      <patternFill patternType="solid">
        <fgColor indexed="40"/>
        <bgColor indexed="64"/>
      </patternFill>
    </fill>
    <fill>
      <patternFill patternType="solid">
        <fgColor indexed="9"/>
        <bgColor indexed="64"/>
      </patternFill>
    </fill>
    <fill>
      <patternFill patternType="solid">
        <fgColor indexed="27"/>
        <bgColor indexed="64"/>
      </patternFill>
    </fill>
  </fills>
  <borders count="2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color indexed="63"/>
      </left>
      <right style="medium"/>
      <top style="thin"/>
      <bottom style="double"/>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medium"/>
      <bottom style="thin"/>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thin"/>
      <right>
        <color indexed="63"/>
      </right>
      <top style="thin"/>
      <bottom style="double"/>
    </border>
    <border>
      <left style="thin"/>
      <right style="medium"/>
      <top style="thin"/>
      <bottom style="double"/>
    </border>
    <border>
      <left style="thin"/>
      <right>
        <color indexed="63"/>
      </right>
      <top>
        <color indexed="63"/>
      </top>
      <bottom>
        <color indexed="63"/>
      </bottom>
    </border>
    <border>
      <left style="thin"/>
      <right style="thin"/>
      <top style="thin"/>
      <bottom style="double"/>
    </border>
    <border>
      <left style="thin"/>
      <right style="thin"/>
      <top>
        <color indexed="63"/>
      </top>
      <bottom>
        <color indexed="63"/>
      </bottom>
    </border>
    <border>
      <left>
        <color indexed="63"/>
      </left>
      <right style="medium"/>
      <top style="medium"/>
      <bottom style="thin"/>
    </border>
    <border>
      <left style="medium"/>
      <right>
        <color indexed="63"/>
      </right>
      <top style="medium"/>
      <bottom style="thin"/>
    </border>
    <border>
      <left style="medium"/>
      <right style="thin"/>
      <top>
        <color indexed="63"/>
      </top>
      <bottom>
        <color indexed="63"/>
      </bottom>
    </border>
    <border>
      <left style="medium"/>
      <right>
        <color indexed="63"/>
      </right>
      <top>
        <color indexed="63"/>
      </top>
      <bottom style="double"/>
    </border>
    <border>
      <left style="medium"/>
      <right style="thin"/>
      <top style="thin"/>
      <bottom style="double"/>
    </border>
    <border>
      <left style="thin"/>
      <right style="thin"/>
      <top style="thin"/>
      <bottom style="medium"/>
    </border>
    <border>
      <left style="thin"/>
      <right style="thin"/>
      <top style="thin"/>
      <bottom>
        <color indexed="63"/>
      </bottom>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medium"/>
      <right style="medium"/>
      <top>
        <color indexed="63"/>
      </top>
      <bottom style="medium"/>
    </border>
    <border>
      <left style="thin"/>
      <right style="thin"/>
      <top style="thin"/>
      <bottom style="hair"/>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medium"/>
      <bottom>
        <color indexed="63"/>
      </bottom>
    </border>
    <border>
      <left style="thin"/>
      <right>
        <color indexed="63"/>
      </right>
      <top style="medium"/>
      <bottom style="medium"/>
    </border>
    <border>
      <left style="thin"/>
      <right style="medium"/>
      <top style="medium"/>
      <bottom style="medium"/>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thin"/>
      <right style="thin"/>
      <top style="medium"/>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double"/>
    </border>
    <border>
      <left style="medium"/>
      <right>
        <color indexed="63"/>
      </right>
      <top style="hair"/>
      <bottom style="hair"/>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thin"/>
    </border>
    <border>
      <left>
        <color indexed="63"/>
      </left>
      <right style="medium"/>
      <top style="hair"/>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hair"/>
    </border>
    <border>
      <left style="medium"/>
      <right style="thin"/>
      <top>
        <color indexed="63"/>
      </top>
      <bottom style="thin"/>
    </border>
    <border>
      <left>
        <color indexed="63"/>
      </left>
      <right>
        <color indexed="63"/>
      </right>
      <top style="hair"/>
      <bottom style="thin"/>
    </border>
    <border>
      <left style="medium"/>
      <right>
        <color indexed="63"/>
      </right>
      <top style="thin"/>
      <bottom>
        <color indexed="63"/>
      </bottom>
    </border>
    <border>
      <left style="medium"/>
      <right style="thin"/>
      <top style="medium"/>
      <bottom style="medium"/>
    </border>
    <border>
      <left>
        <color indexed="63"/>
      </left>
      <right>
        <color indexed="63"/>
      </right>
      <top style="hair"/>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hair"/>
      <top>
        <color indexed="63"/>
      </top>
      <bottom style="hair"/>
    </border>
    <border>
      <left style="hair"/>
      <right style="medium"/>
      <top>
        <color indexed="63"/>
      </top>
      <bottom style="hair"/>
    </border>
    <border>
      <left>
        <color indexed="63"/>
      </left>
      <right style="hair"/>
      <top>
        <color indexed="63"/>
      </top>
      <bottom style="hair"/>
    </border>
    <border>
      <left>
        <color indexed="63"/>
      </left>
      <right style="hair"/>
      <top style="hair"/>
      <bottom style="hair"/>
    </border>
    <border>
      <left>
        <color indexed="63"/>
      </left>
      <right style="medium"/>
      <top style="hair"/>
      <bottom style="hair"/>
    </border>
    <border>
      <left style="medium"/>
      <right style="thin"/>
      <top>
        <color indexed="63"/>
      </top>
      <bottom style="hair"/>
    </border>
    <border>
      <left>
        <color indexed="63"/>
      </left>
      <right style="thin"/>
      <top>
        <color indexed="63"/>
      </top>
      <bottom style="hair"/>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medium"/>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double"/>
      <top>
        <color indexed="63"/>
      </top>
      <bottom style="hair"/>
    </border>
    <border>
      <left>
        <color indexed="63"/>
      </left>
      <right style="double"/>
      <top>
        <color indexed="63"/>
      </top>
      <bottom style="medium"/>
    </border>
    <border>
      <left>
        <color indexed="63"/>
      </left>
      <right style="double"/>
      <top style="medium"/>
      <bottom style="double"/>
    </border>
    <border>
      <left style="double"/>
      <right>
        <color indexed="63"/>
      </right>
      <top>
        <color indexed="63"/>
      </top>
      <bottom style="double"/>
    </border>
    <border>
      <left>
        <color indexed="63"/>
      </left>
      <right style="double"/>
      <top>
        <color indexed="63"/>
      </top>
      <bottom style="double"/>
    </border>
    <border>
      <left style="medium"/>
      <right style="hair"/>
      <top style="hair"/>
      <bottom style="hair"/>
    </border>
    <border>
      <left style="medium"/>
      <right style="hair"/>
      <top style="hair"/>
      <bottom style="medium"/>
    </border>
    <border>
      <left>
        <color indexed="63"/>
      </left>
      <right style="medium"/>
      <top style="thin"/>
      <bottom>
        <color indexed="63"/>
      </bottom>
    </border>
    <border>
      <left style="medium"/>
      <right style="medium"/>
      <top style="thin"/>
      <bottom style="double"/>
    </border>
    <border>
      <left style="medium"/>
      <right style="medium"/>
      <top>
        <color indexed="63"/>
      </top>
      <bottom style="thin"/>
    </border>
    <border>
      <left style="thin"/>
      <right>
        <color indexed="63"/>
      </right>
      <top style="medium"/>
      <bottom style="thin"/>
    </border>
    <border>
      <left style="thin"/>
      <right style="thin"/>
      <top style="medium"/>
      <bottom style="thin"/>
    </border>
    <border>
      <left style="medium"/>
      <right>
        <color indexed="63"/>
      </right>
      <top style="thin"/>
      <bottom style="hair"/>
    </border>
    <border>
      <left>
        <color indexed="63"/>
      </left>
      <right style="medium"/>
      <top style="thin"/>
      <bottom style="hair"/>
    </border>
    <border>
      <left style="medium"/>
      <right style="medium"/>
      <top style="thin"/>
      <bottom style="hair"/>
    </border>
    <border>
      <left>
        <color indexed="63"/>
      </left>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color indexed="63"/>
      </right>
      <top>
        <color indexed="63"/>
      </top>
      <bottom style="dotted"/>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medium"/>
      <top>
        <color indexed="63"/>
      </top>
      <bottom style="dotted"/>
    </border>
    <border>
      <left>
        <color indexed="63"/>
      </left>
      <right style="medium"/>
      <top>
        <color indexed="63"/>
      </top>
      <bottom style="dotted"/>
    </border>
    <border>
      <left>
        <color indexed="63"/>
      </left>
      <right style="thin"/>
      <top style="medium"/>
      <bottom>
        <color indexed="63"/>
      </bottom>
    </border>
    <border>
      <left style="thin"/>
      <right style="hair"/>
      <top style="thin"/>
      <bottom style="double"/>
    </border>
    <border>
      <left style="hair"/>
      <right style="hair"/>
      <top style="thin"/>
      <bottom style="double"/>
    </border>
    <border>
      <left style="thin"/>
      <right style="hair"/>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color indexed="63"/>
      </right>
      <top style="double"/>
      <bottom style="double"/>
    </border>
    <border>
      <left style="medium"/>
      <right>
        <color indexed="63"/>
      </right>
      <top style="double"/>
      <bottom style="hair"/>
    </border>
    <border>
      <left>
        <color indexed="63"/>
      </left>
      <right style="medium"/>
      <top style="double"/>
      <bottom style="hair"/>
    </border>
    <border>
      <left>
        <color indexed="63"/>
      </left>
      <right style="hair"/>
      <top style="double"/>
      <bottom style="hair"/>
    </border>
    <border>
      <left style="hair"/>
      <right style="hair"/>
      <top style="double"/>
      <bottom style="hair"/>
    </border>
    <border>
      <left style="hair"/>
      <right style="medium"/>
      <top style="double"/>
      <bottom style="hair"/>
    </border>
    <border>
      <left>
        <color indexed="63"/>
      </left>
      <right style="hair"/>
      <top style="hair"/>
      <bottom style="thin"/>
    </border>
    <border>
      <left style="hair"/>
      <right style="hair"/>
      <top style="hair"/>
      <bottom style="thin"/>
    </border>
    <border>
      <left style="hair"/>
      <right style="medium"/>
      <top style="hair"/>
      <bottom style="thin"/>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hair"/>
      <bottom style="medium"/>
    </border>
    <border>
      <left style="medium"/>
      <right style="hair"/>
      <top>
        <color indexed="63"/>
      </top>
      <bottom style="double"/>
    </border>
    <border>
      <left style="hair"/>
      <right style="hair"/>
      <top>
        <color indexed="63"/>
      </top>
      <bottom style="double"/>
    </border>
    <border>
      <left style="hair"/>
      <right style="medium"/>
      <top>
        <color indexed="63"/>
      </top>
      <bottom style="double"/>
    </border>
    <border>
      <left style="medium"/>
      <right style="hair"/>
      <top>
        <color indexed="63"/>
      </top>
      <bottom style="hair"/>
    </border>
    <border>
      <left style="medium"/>
      <right style="medium"/>
      <top>
        <color indexed="63"/>
      </top>
      <bottom style="hair"/>
    </border>
    <border>
      <left style="medium"/>
      <right style="medium"/>
      <top style="hair"/>
      <bottom style="hair"/>
    </border>
    <border>
      <left>
        <color indexed="63"/>
      </left>
      <right style="medium"/>
      <top style="hair"/>
      <bottom style="medium"/>
    </border>
    <border>
      <left style="medium"/>
      <right style="medium"/>
      <top style="hair"/>
      <bottom style="medium"/>
    </border>
    <border>
      <left style="hair"/>
      <right style="hair"/>
      <top>
        <color indexed="63"/>
      </top>
      <bottom style="medium"/>
    </border>
    <border>
      <left style="hair"/>
      <right style="medium"/>
      <top>
        <color indexed="63"/>
      </top>
      <bottom style="medium"/>
    </border>
    <border>
      <left>
        <color indexed="63"/>
      </left>
      <right style="hair"/>
      <top style="hair"/>
      <bottom style="medium"/>
    </border>
    <border>
      <left style="thin"/>
      <right style="medium"/>
      <top style="medium"/>
      <bottom>
        <color indexed="63"/>
      </bottom>
    </border>
    <border>
      <left>
        <color indexed="63"/>
      </left>
      <right style="hair"/>
      <top style="double"/>
      <bottom>
        <color indexed="63"/>
      </bottom>
    </border>
    <border>
      <left>
        <color indexed="63"/>
      </left>
      <right style="hair"/>
      <top>
        <color indexed="63"/>
      </top>
      <bottom style="thin"/>
    </border>
    <border>
      <left style="hair"/>
      <right style="hair"/>
      <top style="double"/>
      <bottom>
        <color indexed="63"/>
      </bottom>
    </border>
    <border>
      <left style="hair"/>
      <right style="hair"/>
      <top>
        <color indexed="63"/>
      </top>
      <bottom style="thin"/>
    </border>
    <border>
      <left style="medium"/>
      <right style="thin"/>
      <top style="medium"/>
      <bottom>
        <color indexed="63"/>
      </bottom>
    </border>
    <border>
      <left style="hair"/>
      <right style="medium"/>
      <top style="double"/>
      <bottom>
        <color indexed="63"/>
      </bottom>
    </border>
    <border>
      <left style="hair"/>
      <right style="medium"/>
      <top>
        <color indexed="63"/>
      </top>
      <bottom style="thin"/>
    </border>
    <border>
      <left>
        <color indexed="63"/>
      </left>
      <right>
        <color indexed="63"/>
      </right>
      <top style="hair"/>
      <bottom style="medium"/>
    </border>
    <border>
      <left style="medium"/>
      <right style="hair"/>
      <top style="double"/>
      <bottom>
        <color indexed="63"/>
      </bottom>
    </border>
    <border>
      <left style="medium"/>
      <right style="hair"/>
      <top>
        <color indexed="63"/>
      </top>
      <bottom style="thin"/>
    </border>
    <border>
      <left style="medium"/>
      <right style="thin"/>
      <top style="thin"/>
      <bottom>
        <color indexed="63"/>
      </bottom>
    </border>
    <border>
      <left style="thin"/>
      <right style="medium"/>
      <top style="thin"/>
      <bottom>
        <color indexed="63"/>
      </bottom>
    </border>
    <border>
      <left style="hair"/>
      <right style="hair"/>
      <top>
        <color indexed="63"/>
      </top>
      <bottom>
        <color indexed="63"/>
      </bottom>
    </border>
    <border>
      <left style="hair"/>
      <right style="medium"/>
      <top>
        <color indexed="63"/>
      </top>
      <bottom>
        <color indexed="63"/>
      </bottom>
    </border>
    <border>
      <left style="medium"/>
      <right style="medium"/>
      <top style="double"/>
      <bottom>
        <color indexed="63"/>
      </bottom>
    </border>
    <border>
      <left style="medium"/>
      <right style="medium"/>
      <top>
        <color indexed="63"/>
      </top>
      <bottom style="double"/>
    </border>
    <border>
      <left>
        <color indexed="63"/>
      </left>
      <right style="hair"/>
      <top>
        <color indexed="63"/>
      </top>
      <bottom>
        <color indexed="63"/>
      </bottom>
    </border>
    <border>
      <left>
        <color indexed="63"/>
      </left>
      <right style="hair"/>
      <top>
        <color indexed="63"/>
      </top>
      <bottom style="double"/>
    </border>
    <border>
      <left style="thin"/>
      <right>
        <color indexed="63"/>
      </right>
      <top style="medium"/>
      <bottom>
        <color indexed="63"/>
      </bottom>
    </border>
    <border>
      <left style="thin"/>
      <right>
        <color indexed="63"/>
      </right>
      <top>
        <color indexed="63"/>
      </top>
      <bottom style="double"/>
    </border>
    <border>
      <left>
        <color indexed="63"/>
      </left>
      <right style="thin"/>
      <top style="double"/>
      <bottom>
        <color indexed="63"/>
      </bottom>
    </border>
    <border>
      <left style="double"/>
      <right>
        <color indexed="63"/>
      </right>
      <top>
        <color indexed="63"/>
      </top>
      <bottom style="medium"/>
    </border>
    <border>
      <left style="thin"/>
      <right style="thin"/>
      <top>
        <color indexed="63"/>
      </top>
      <bottom style="double"/>
    </border>
    <border>
      <left style="double"/>
      <right>
        <color indexed="63"/>
      </right>
      <top>
        <color indexed="63"/>
      </top>
      <bottom style="hair"/>
    </border>
    <border>
      <left style="thin"/>
      <right>
        <color indexed="63"/>
      </right>
      <top style="thin"/>
      <bottom style="medium"/>
    </border>
    <border>
      <left style="double"/>
      <right>
        <color indexed="63"/>
      </right>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6" fillId="2" borderId="0" applyNumberFormat="0" applyBorder="0" applyAlignment="0" applyProtection="0"/>
    <xf numFmtId="0" fontId="206" fillId="3" borderId="0" applyNumberFormat="0" applyBorder="0" applyAlignment="0" applyProtection="0"/>
    <xf numFmtId="0" fontId="206" fillId="4" borderId="0" applyNumberFormat="0" applyBorder="0" applyAlignment="0" applyProtection="0"/>
    <xf numFmtId="0" fontId="206" fillId="5" borderId="0" applyNumberFormat="0" applyBorder="0" applyAlignment="0" applyProtection="0"/>
    <xf numFmtId="0" fontId="206" fillId="6" borderId="0" applyNumberFormat="0" applyBorder="0" applyAlignment="0" applyProtection="0"/>
    <xf numFmtId="0" fontId="206" fillId="7" borderId="0" applyNumberFormat="0" applyBorder="0" applyAlignment="0" applyProtection="0"/>
    <xf numFmtId="0" fontId="206" fillId="8" borderId="0" applyNumberFormat="0" applyBorder="0" applyAlignment="0" applyProtection="0"/>
    <xf numFmtId="0" fontId="206" fillId="9" borderId="0" applyNumberFormat="0" applyBorder="0" applyAlignment="0" applyProtection="0"/>
    <xf numFmtId="0" fontId="206" fillId="10" borderId="0" applyNumberFormat="0" applyBorder="0" applyAlignment="0" applyProtection="0"/>
    <xf numFmtId="0" fontId="206" fillId="11" borderId="0" applyNumberFormat="0" applyBorder="0" applyAlignment="0" applyProtection="0"/>
    <xf numFmtId="0" fontId="206" fillId="12" borderId="0" applyNumberFormat="0" applyBorder="0" applyAlignment="0" applyProtection="0"/>
    <xf numFmtId="0" fontId="206" fillId="13" borderId="0" applyNumberFormat="0" applyBorder="0" applyAlignment="0" applyProtection="0"/>
    <xf numFmtId="0" fontId="207" fillId="14" borderId="0" applyNumberFormat="0" applyBorder="0" applyAlignment="0" applyProtection="0"/>
    <xf numFmtId="0" fontId="207" fillId="15" borderId="0" applyNumberFormat="0" applyBorder="0" applyAlignment="0" applyProtection="0"/>
    <xf numFmtId="0" fontId="207" fillId="16" borderId="0" applyNumberFormat="0" applyBorder="0" applyAlignment="0" applyProtection="0"/>
    <xf numFmtId="0" fontId="207" fillId="17" borderId="0" applyNumberFormat="0" applyBorder="0" applyAlignment="0" applyProtection="0"/>
    <xf numFmtId="0" fontId="207" fillId="18" borderId="0" applyNumberFormat="0" applyBorder="0" applyAlignment="0" applyProtection="0"/>
    <xf numFmtId="0" fontId="207" fillId="19" borderId="0" applyNumberFormat="0" applyBorder="0" applyAlignment="0" applyProtection="0"/>
    <xf numFmtId="0" fontId="207" fillId="20" borderId="0" applyNumberFormat="0" applyBorder="0" applyAlignment="0" applyProtection="0"/>
    <xf numFmtId="0" fontId="207" fillId="21" borderId="0" applyNumberFormat="0" applyBorder="0" applyAlignment="0" applyProtection="0"/>
    <xf numFmtId="0" fontId="207" fillId="22" borderId="0" applyNumberFormat="0" applyBorder="0" applyAlignment="0" applyProtection="0"/>
    <xf numFmtId="0" fontId="207" fillId="23" borderId="0" applyNumberFormat="0" applyBorder="0" applyAlignment="0" applyProtection="0"/>
    <xf numFmtId="0" fontId="207" fillId="24" borderId="0" applyNumberFormat="0" applyBorder="0" applyAlignment="0" applyProtection="0"/>
    <xf numFmtId="0" fontId="207" fillId="25" borderId="0" applyNumberFormat="0" applyBorder="0" applyAlignment="0" applyProtection="0"/>
    <xf numFmtId="0" fontId="208" fillId="26" borderId="0" applyNumberFormat="0" applyBorder="0" applyAlignment="0" applyProtection="0"/>
    <xf numFmtId="0" fontId="209" fillId="27" borderId="1" applyNumberFormat="0" applyAlignment="0" applyProtection="0"/>
    <xf numFmtId="0" fontId="21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1" fillId="0" borderId="0" applyNumberFormat="0" applyFill="0" applyBorder="0" applyAlignment="0" applyProtection="0"/>
    <xf numFmtId="0" fontId="104" fillId="0" borderId="0" applyNumberFormat="0" applyFill="0" applyBorder="0" applyAlignment="0" applyProtection="0"/>
    <xf numFmtId="0" fontId="212" fillId="29" borderId="0" applyNumberFormat="0" applyBorder="0" applyAlignment="0" applyProtection="0"/>
    <xf numFmtId="0" fontId="213" fillId="0" borderId="3" applyNumberFormat="0" applyFill="0" applyAlignment="0" applyProtection="0"/>
    <xf numFmtId="0" fontId="214" fillId="0" borderId="4" applyNumberFormat="0" applyFill="0" applyAlignment="0" applyProtection="0"/>
    <xf numFmtId="0" fontId="215" fillId="0" borderId="5" applyNumberFormat="0" applyFill="0" applyAlignment="0" applyProtection="0"/>
    <xf numFmtId="0" fontId="215" fillId="0" borderId="0" applyNumberFormat="0" applyFill="0" applyBorder="0" applyAlignment="0" applyProtection="0"/>
    <xf numFmtId="0" fontId="105" fillId="0" borderId="0" applyNumberFormat="0" applyFill="0" applyBorder="0" applyAlignment="0" applyProtection="0"/>
    <xf numFmtId="0" fontId="216" fillId="30" borderId="1" applyNumberFormat="0" applyAlignment="0" applyProtection="0"/>
    <xf numFmtId="0" fontId="217" fillId="0" borderId="6" applyNumberFormat="0" applyFill="0" applyAlignment="0" applyProtection="0"/>
    <xf numFmtId="0" fontId="218" fillId="31" borderId="0" applyNumberFormat="0" applyBorder="0" applyAlignment="0" applyProtection="0"/>
    <xf numFmtId="0" fontId="106" fillId="32" borderId="0">
      <alignment/>
      <protection/>
    </xf>
    <xf numFmtId="0" fontId="29" fillId="0" borderId="0">
      <alignment/>
      <protection/>
    </xf>
    <xf numFmtId="0" fontId="0" fillId="33" borderId="7" applyNumberFormat="0" applyFont="0" applyAlignment="0" applyProtection="0"/>
    <xf numFmtId="0" fontId="219" fillId="27" borderId="8" applyNumberFormat="0" applyAlignment="0" applyProtection="0"/>
    <xf numFmtId="9" fontId="1" fillId="0" borderId="0" applyFont="0" applyFill="0" applyBorder="0" applyAlignment="0" applyProtection="0"/>
    <xf numFmtId="0" fontId="220" fillId="0" borderId="0" applyNumberFormat="0" applyFill="0" applyBorder="0" applyAlignment="0" applyProtection="0"/>
    <xf numFmtId="0" fontId="221" fillId="0" borderId="9" applyNumberFormat="0" applyFill="0" applyAlignment="0" applyProtection="0"/>
    <xf numFmtId="0" fontId="222" fillId="0" borderId="0" applyNumberFormat="0" applyFill="0" applyBorder="0" applyAlignment="0" applyProtection="0"/>
  </cellStyleXfs>
  <cellXfs count="2240">
    <xf numFmtId="0" fontId="0" fillId="0" borderId="0" xfId="0" applyAlignment="1">
      <alignment/>
    </xf>
    <xf numFmtId="0" fontId="0" fillId="0" borderId="0" xfId="0" applyBorder="1" applyAlignment="1">
      <alignment/>
    </xf>
    <xf numFmtId="11" fontId="6" fillId="0" borderId="0" xfId="0" applyNumberFormat="1" applyFont="1" applyFill="1" applyBorder="1" applyAlignment="1">
      <alignment horizontal="center"/>
    </xf>
    <xf numFmtId="0" fontId="9" fillId="0" borderId="0" xfId="0" applyFont="1" applyAlignment="1">
      <alignment/>
    </xf>
    <xf numFmtId="11" fontId="0" fillId="0" borderId="10" xfId="0" applyNumberFormat="1" applyFill="1" applyBorder="1" applyAlignment="1">
      <alignment horizontal="center"/>
    </xf>
    <xf numFmtId="11" fontId="0" fillId="0" borderId="0" xfId="0" applyNumberForma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xf>
    <xf numFmtId="0" fontId="6" fillId="0" borderId="0" xfId="0" applyFont="1" applyFill="1" applyBorder="1" applyAlignment="1">
      <alignment/>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6" fillId="34" borderId="0" xfId="0" applyFont="1" applyFill="1" applyBorder="1" applyAlignment="1">
      <alignment/>
    </xf>
    <xf numFmtId="10" fontId="0" fillId="0" borderId="0" xfId="0" applyNumberFormat="1" applyAlignment="1">
      <alignment/>
    </xf>
    <xf numFmtId="0" fontId="1" fillId="0" borderId="13" xfId="0" applyFont="1" applyFill="1" applyBorder="1" applyAlignment="1">
      <alignment horizontal="center" wrapText="1"/>
    </xf>
    <xf numFmtId="11" fontId="0" fillId="0" borderId="14" xfId="0" applyNumberFormat="1" applyFill="1" applyBorder="1" applyAlignment="1">
      <alignment horizontal="center"/>
    </xf>
    <xf numFmtId="166" fontId="0" fillId="0" borderId="0" xfId="0" applyNumberFormat="1" applyFill="1" applyBorder="1" applyAlignment="1">
      <alignment/>
    </xf>
    <xf numFmtId="168" fontId="0" fillId="0" borderId="0" xfId="0" applyNumberFormat="1" applyFill="1" applyAlignment="1">
      <alignment horizontal="center"/>
    </xf>
    <xf numFmtId="0" fontId="1" fillId="0" borderId="15" xfId="0" applyFont="1" applyFill="1" applyBorder="1" applyAlignment="1">
      <alignment horizontal="center" wrapText="1"/>
    </xf>
    <xf numFmtId="11" fontId="0" fillId="0" borderId="16" xfId="0" applyNumberFormat="1" applyFill="1" applyBorder="1" applyAlignment="1">
      <alignment horizontal="center"/>
    </xf>
    <xf numFmtId="11" fontId="2" fillId="0" borderId="0" xfId="0" applyNumberFormat="1" applyFont="1" applyFill="1" applyBorder="1" applyAlignment="1">
      <alignment horizontal="center"/>
    </xf>
    <xf numFmtId="0" fontId="21" fillId="0" borderId="17" xfId="0" applyFont="1" applyFill="1" applyBorder="1" applyAlignment="1">
      <alignment/>
    </xf>
    <xf numFmtId="0" fontId="21" fillId="0" borderId="18" xfId="0" applyFont="1" applyFill="1" applyBorder="1" applyAlignment="1">
      <alignment/>
    </xf>
    <xf numFmtId="0" fontId="21" fillId="0" borderId="19" xfId="0" applyFont="1" applyFill="1" applyBorder="1" applyAlignment="1">
      <alignment horizontal="right"/>
    </xf>
    <xf numFmtId="0" fontId="21" fillId="0" borderId="20" xfId="0" applyFont="1" applyFill="1" applyBorder="1" applyAlignment="1">
      <alignment horizontal="right"/>
    </xf>
    <xf numFmtId="11" fontId="2" fillId="0" borderId="21" xfId="0" applyNumberFormat="1" applyFont="1" applyFill="1" applyBorder="1" applyAlignment="1">
      <alignment horizontal="center"/>
    </xf>
    <xf numFmtId="0" fontId="6" fillId="0" borderId="10" xfId="0" applyFont="1" applyFill="1" applyBorder="1" applyAlignment="1">
      <alignment/>
    </xf>
    <xf numFmtId="0" fontId="0" fillId="0" borderId="0" xfId="0" applyFill="1" applyBorder="1" applyAlignment="1">
      <alignment/>
    </xf>
    <xf numFmtId="0" fontId="6" fillId="0" borderId="14" xfId="0" applyFont="1" applyFill="1" applyBorder="1" applyAlignment="1">
      <alignment/>
    </xf>
    <xf numFmtId="0" fontId="0" fillId="0" borderId="10" xfId="0" applyFill="1" applyBorder="1" applyAlignment="1">
      <alignment/>
    </xf>
    <xf numFmtId="0" fontId="0" fillId="0" borderId="14" xfId="0" applyFill="1" applyBorder="1" applyAlignment="1">
      <alignment/>
    </xf>
    <xf numFmtId="11" fontId="0" fillId="0" borderId="16" xfId="0" applyNumberFormat="1" applyFill="1" applyBorder="1" applyAlignment="1">
      <alignment/>
    </xf>
    <xf numFmtId="11" fontId="0" fillId="0" borderId="0" xfId="0" applyNumberFormat="1" applyFill="1" applyBorder="1" applyAlignment="1">
      <alignment/>
    </xf>
    <xf numFmtId="0" fontId="0" fillId="0" borderId="22" xfId="0" applyFill="1" applyBorder="1" applyAlignment="1">
      <alignment horizontal="center"/>
    </xf>
    <xf numFmtId="0" fontId="0" fillId="0" borderId="0" xfId="0" applyFill="1" applyAlignment="1">
      <alignment horizontal="center"/>
    </xf>
    <xf numFmtId="0" fontId="0" fillId="0" borderId="16" xfId="0" applyFill="1" applyBorder="1" applyAlignment="1">
      <alignment horizontal="center"/>
    </xf>
    <xf numFmtId="0" fontId="0" fillId="0" borderId="0" xfId="0" applyFill="1" applyAlignment="1">
      <alignment/>
    </xf>
    <xf numFmtId="0" fontId="0" fillId="0" borderId="16" xfId="0" applyFill="1" applyBorder="1" applyAlignment="1">
      <alignment/>
    </xf>
    <xf numFmtId="165" fontId="6" fillId="0" borderId="0" xfId="0" applyNumberFormat="1" applyFont="1" applyFill="1" applyBorder="1" applyAlignment="1">
      <alignment horizontal="center"/>
    </xf>
    <xf numFmtId="11" fontId="6" fillId="0" borderId="10" xfId="0" applyNumberFormat="1" applyFont="1" applyFill="1" applyBorder="1" applyAlignment="1">
      <alignment horizontal="center"/>
    </xf>
    <xf numFmtId="172" fontId="6" fillId="0" borderId="14" xfId="0" applyNumberFormat="1" applyFont="1" applyFill="1" applyBorder="1" applyAlignment="1">
      <alignment horizontal="center"/>
    </xf>
    <xf numFmtId="172" fontId="6" fillId="0" borderId="0" xfId="0" applyNumberFormat="1" applyFont="1" applyFill="1" applyBorder="1" applyAlignment="1">
      <alignment horizontal="center"/>
    </xf>
    <xf numFmtId="11" fontId="0" fillId="0" borderId="0" xfId="0" applyNumberFormat="1" applyFill="1" applyAlignment="1">
      <alignment horizontal="center"/>
    </xf>
    <xf numFmtId="10" fontId="0" fillId="0" borderId="16" xfId="61" applyNumberFormat="1" applyFont="1" applyFill="1" applyBorder="1" applyAlignment="1">
      <alignment horizontal="center"/>
    </xf>
    <xf numFmtId="10" fontId="0" fillId="0" borderId="16" xfId="61" applyNumberFormat="1" applyFont="1" applyFill="1" applyBorder="1" applyAlignment="1">
      <alignment/>
    </xf>
    <xf numFmtId="0" fontId="29" fillId="0" borderId="0" xfId="58">
      <alignment/>
      <protection/>
    </xf>
    <xf numFmtId="0" fontId="37" fillId="0" borderId="0" xfId="0" applyFont="1" applyFill="1" applyBorder="1" applyAlignment="1">
      <alignment/>
    </xf>
    <xf numFmtId="166" fontId="6" fillId="0" borderId="0" xfId="0" applyNumberFormat="1" applyFont="1" applyFill="1" applyBorder="1" applyAlignment="1">
      <alignment horizontal="center"/>
    </xf>
    <xf numFmtId="0" fontId="1" fillId="0" borderId="0" xfId="0" applyFont="1" applyFill="1" applyBorder="1" applyAlignment="1" applyProtection="1">
      <alignment horizontal="center"/>
      <protection locked="0"/>
    </xf>
    <xf numFmtId="166" fontId="6" fillId="0" borderId="23" xfId="0" applyNumberFormat="1" applyFont="1" applyFill="1" applyBorder="1" applyAlignment="1">
      <alignment horizontal="center"/>
    </xf>
    <xf numFmtId="0" fontId="1" fillId="0" borderId="23" xfId="0" applyFont="1" applyFill="1" applyBorder="1" applyAlignment="1" applyProtection="1">
      <alignment horizontal="center"/>
      <protection locked="0"/>
    </xf>
    <xf numFmtId="0" fontId="0" fillId="0" borderId="0" xfId="0" applyAlignment="1">
      <alignment horizontal="center"/>
    </xf>
    <xf numFmtId="168" fontId="0" fillId="0" borderId="16" xfId="0" applyNumberFormat="1" applyFill="1" applyBorder="1" applyAlignment="1">
      <alignment horizontal="center"/>
    </xf>
    <xf numFmtId="0" fontId="6" fillId="0" borderId="23" xfId="0" applyFont="1" applyFill="1" applyBorder="1" applyAlignment="1">
      <alignment/>
    </xf>
    <xf numFmtId="165" fontId="6" fillId="0" borderId="23" xfId="0" applyNumberFormat="1" applyFont="1" applyFill="1" applyBorder="1" applyAlignment="1">
      <alignment horizontal="center"/>
    </xf>
    <xf numFmtId="168" fontId="0" fillId="0" borderId="24" xfId="0" applyNumberFormat="1" applyFill="1" applyBorder="1" applyAlignment="1">
      <alignment horizontal="center"/>
    </xf>
    <xf numFmtId="11" fontId="6" fillId="0" borderId="25" xfId="0" applyNumberFormat="1" applyFont="1" applyFill="1" applyBorder="1" applyAlignment="1">
      <alignment horizontal="center"/>
    </xf>
    <xf numFmtId="11" fontId="6" fillId="0" borderId="23" xfId="0" applyNumberFormat="1" applyFont="1" applyFill="1" applyBorder="1" applyAlignment="1">
      <alignment horizontal="center"/>
    </xf>
    <xf numFmtId="11" fontId="0" fillId="0" borderId="25" xfId="0" applyNumberFormat="1" applyFill="1" applyBorder="1" applyAlignment="1">
      <alignment horizontal="center"/>
    </xf>
    <xf numFmtId="11" fontId="0" fillId="0" borderId="26" xfId="0" applyNumberFormat="1" applyFill="1" applyBorder="1" applyAlignment="1">
      <alignment horizontal="center"/>
    </xf>
    <xf numFmtId="11" fontId="0" fillId="0" borderId="23" xfId="0" applyNumberFormat="1" applyFill="1" applyBorder="1" applyAlignment="1">
      <alignment horizontal="center"/>
    </xf>
    <xf numFmtId="11" fontId="0" fillId="0" borderId="24" xfId="0" applyNumberFormat="1" applyFill="1" applyBorder="1" applyAlignment="1">
      <alignment horizontal="center"/>
    </xf>
    <xf numFmtId="11" fontId="0" fillId="0" borderId="27" xfId="0" applyNumberFormat="1" applyFill="1" applyBorder="1" applyAlignment="1">
      <alignment horizontal="center"/>
    </xf>
    <xf numFmtId="167" fontId="6" fillId="0" borderId="10" xfId="0" applyNumberFormat="1" applyFont="1" applyFill="1" applyBorder="1" applyAlignment="1">
      <alignment horizontal="center"/>
    </xf>
    <xf numFmtId="167" fontId="6" fillId="0" borderId="25" xfId="0" applyNumberFormat="1" applyFont="1" applyFill="1" applyBorder="1" applyAlignment="1">
      <alignment horizontal="center"/>
    </xf>
    <xf numFmtId="11" fontId="6" fillId="0" borderId="16" xfId="0" applyNumberFormat="1" applyFont="1" applyFill="1" applyBorder="1" applyAlignment="1">
      <alignment horizontal="center"/>
    </xf>
    <xf numFmtId="168" fontId="0" fillId="0" borderId="0" xfId="0" applyNumberFormat="1" applyFill="1" applyBorder="1" applyAlignment="1">
      <alignment horizontal="center"/>
    </xf>
    <xf numFmtId="0" fontId="8" fillId="0" borderId="28" xfId="0" applyFont="1" applyFill="1" applyBorder="1" applyAlignment="1">
      <alignment horizontal="center"/>
    </xf>
    <xf numFmtId="168" fontId="8" fillId="0" borderId="29" xfId="0" applyNumberFormat="1" applyFont="1" applyFill="1" applyBorder="1" applyAlignment="1">
      <alignment horizontal="center"/>
    </xf>
    <xf numFmtId="168" fontId="8" fillId="0" borderId="29" xfId="42" applyNumberFormat="1" applyFont="1" applyFill="1" applyBorder="1" applyAlignment="1">
      <alignment horizontal="center" vertical="center"/>
    </xf>
    <xf numFmtId="0" fontId="6" fillId="0" borderId="28" xfId="0" applyFont="1" applyFill="1" applyBorder="1" applyAlignment="1">
      <alignment horizontal="center"/>
    </xf>
    <xf numFmtId="166" fontId="6" fillId="0" borderId="29" xfId="0" applyNumberFormat="1" applyFont="1" applyFill="1" applyBorder="1" applyAlignment="1">
      <alignment horizontal="center"/>
    </xf>
    <xf numFmtId="166" fontId="8" fillId="0" borderId="29" xfId="0" applyNumberFormat="1" applyFont="1" applyFill="1" applyBorder="1" applyAlignment="1">
      <alignment horizontal="center"/>
    </xf>
    <xf numFmtId="11" fontId="8" fillId="0" borderId="28" xfId="0" applyNumberFormat="1" applyFont="1" applyFill="1" applyBorder="1" applyAlignment="1">
      <alignment horizontal="center"/>
    </xf>
    <xf numFmtId="11" fontId="8" fillId="0" borderId="30" xfId="0" applyNumberFormat="1" applyFont="1" applyFill="1" applyBorder="1" applyAlignment="1">
      <alignment horizontal="center"/>
    </xf>
    <xf numFmtId="11" fontId="2" fillId="0" borderId="29" xfId="0" applyNumberFormat="1" applyFont="1" applyFill="1" applyBorder="1" applyAlignment="1">
      <alignment horizontal="center"/>
    </xf>
    <xf numFmtId="11" fontId="2" fillId="0" borderId="30" xfId="0" applyNumberFormat="1" applyFont="1" applyFill="1" applyBorder="1" applyAlignment="1">
      <alignment horizontal="center"/>
    </xf>
    <xf numFmtId="11" fontId="2" fillId="0" borderId="31" xfId="0" applyNumberFormat="1" applyFont="1" applyFill="1" applyBorder="1" applyAlignment="1">
      <alignment horizontal="center"/>
    </xf>
    <xf numFmtId="0" fontId="1" fillId="0" borderId="0" xfId="0" applyFont="1" applyFill="1" applyBorder="1" applyAlignment="1">
      <alignment/>
    </xf>
    <xf numFmtId="0" fontId="0" fillId="0" borderId="0" xfId="0" applyFill="1" applyAlignment="1" applyProtection="1">
      <alignment/>
      <protection hidden="1"/>
    </xf>
    <xf numFmtId="177" fontId="0" fillId="0" borderId="0" xfId="0" applyNumberFormat="1" applyFill="1" applyAlignment="1">
      <alignment/>
    </xf>
    <xf numFmtId="166" fontId="0" fillId="0" borderId="0" xfId="0" applyNumberFormat="1" applyFill="1" applyBorder="1" applyAlignment="1">
      <alignment horizontal="center"/>
    </xf>
    <xf numFmtId="0" fontId="0" fillId="35" borderId="0" xfId="0" applyFill="1" applyAlignment="1">
      <alignment/>
    </xf>
    <xf numFmtId="0" fontId="8" fillId="0" borderId="0" xfId="0" applyFont="1" applyFill="1" applyBorder="1" applyAlignment="1">
      <alignment horizontal="center"/>
    </xf>
    <xf numFmtId="0" fontId="26" fillId="34" borderId="0" xfId="0" applyFont="1" applyFill="1" applyBorder="1" applyAlignment="1">
      <alignment/>
    </xf>
    <xf numFmtId="0" fontId="26" fillId="0" borderId="0" xfId="0" applyFont="1" applyFill="1" applyBorder="1" applyAlignment="1">
      <alignment/>
    </xf>
    <xf numFmtId="0" fontId="19" fillId="34" borderId="0" xfId="0" applyFont="1" applyFill="1" applyBorder="1" applyAlignment="1">
      <alignment/>
    </xf>
    <xf numFmtId="0" fontId="19" fillId="0" borderId="0" xfId="0" applyFont="1" applyFill="1" applyBorder="1" applyAlignment="1">
      <alignment/>
    </xf>
    <xf numFmtId="0" fontId="0" fillId="36" borderId="0" xfId="0" applyFill="1" applyAlignment="1">
      <alignment/>
    </xf>
    <xf numFmtId="0" fontId="6" fillId="34" borderId="17" xfId="0" applyFont="1" applyFill="1" applyBorder="1" applyAlignment="1">
      <alignment/>
    </xf>
    <xf numFmtId="0" fontId="6" fillId="34" borderId="0" xfId="0" applyFont="1" applyFill="1" applyBorder="1" applyAlignment="1">
      <alignment horizontal="center"/>
    </xf>
    <xf numFmtId="0" fontId="6" fillId="34" borderId="0" xfId="0" applyFont="1" applyFill="1" applyBorder="1" applyAlignment="1">
      <alignment horizontal="right"/>
    </xf>
    <xf numFmtId="179" fontId="6" fillId="34" borderId="0" xfId="0" applyNumberFormat="1" applyFont="1" applyFill="1" applyBorder="1" applyAlignment="1">
      <alignment horizontal="left"/>
    </xf>
    <xf numFmtId="0" fontId="49" fillId="34" borderId="0" xfId="0" applyFont="1" applyFill="1" applyBorder="1" applyAlignment="1">
      <alignment/>
    </xf>
    <xf numFmtId="14" fontId="6" fillId="34" borderId="0" xfId="0" applyNumberFormat="1" applyFont="1" applyFill="1" applyBorder="1" applyAlignment="1">
      <alignment horizontal="left"/>
    </xf>
    <xf numFmtId="0" fontId="49" fillId="34" borderId="0" xfId="0" applyFont="1" applyFill="1" applyBorder="1" applyAlignment="1">
      <alignment horizontal="right"/>
    </xf>
    <xf numFmtId="0" fontId="19" fillId="34" borderId="0" xfId="0" applyFont="1" applyFill="1" applyBorder="1" applyAlignment="1">
      <alignment horizontal="center" wrapText="1"/>
    </xf>
    <xf numFmtId="0" fontId="6" fillId="34" borderId="10" xfId="0" applyFont="1" applyFill="1" applyBorder="1" applyAlignment="1">
      <alignment/>
    </xf>
    <xf numFmtId="0" fontId="6" fillId="34" borderId="0" xfId="0" applyNumberFormat="1" applyFont="1" applyFill="1" applyBorder="1" applyAlignment="1">
      <alignment horizontal="center"/>
    </xf>
    <xf numFmtId="166" fontId="6" fillId="34" borderId="0" xfId="0" applyNumberFormat="1" applyFont="1" applyFill="1" applyBorder="1" applyAlignment="1">
      <alignment horizontal="center"/>
    </xf>
    <xf numFmtId="0" fontId="6" fillId="0" borderId="0" xfId="0" applyFont="1" applyFill="1" applyBorder="1" applyAlignment="1">
      <alignment/>
    </xf>
    <xf numFmtId="2" fontId="6" fillId="0" borderId="0" xfId="0" applyNumberFormat="1" applyFont="1" applyFill="1" applyBorder="1" applyAlignment="1">
      <alignment/>
    </xf>
    <xf numFmtId="0" fontId="6" fillId="34" borderId="23" xfId="0" applyNumberFormat="1" applyFont="1" applyFill="1" applyBorder="1" applyAlignment="1">
      <alignment horizontal="center"/>
    </xf>
    <xf numFmtId="0" fontId="47" fillId="0" borderId="0" xfId="0" applyFont="1" applyFill="1" applyBorder="1" applyAlignment="1">
      <alignment horizontal="left"/>
    </xf>
    <xf numFmtId="0" fontId="55" fillId="0" borderId="0" xfId="0" applyFont="1" applyFill="1" applyBorder="1" applyAlignment="1">
      <alignment/>
    </xf>
    <xf numFmtId="0" fontId="56" fillId="0" borderId="0" xfId="0" applyFont="1" applyFill="1" applyBorder="1" applyAlignment="1">
      <alignment horizontal="center"/>
    </xf>
    <xf numFmtId="4" fontId="57" fillId="0" borderId="0" xfId="0" applyNumberFormat="1" applyFont="1" applyFill="1" applyBorder="1" applyAlignment="1">
      <alignment horizontal="left"/>
    </xf>
    <xf numFmtId="0" fontId="57" fillId="0" borderId="0" xfId="0" applyNumberFormat="1" applyFont="1" applyFill="1" applyBorder="1" applyAlignment="1">
      <alignment horizontal="left"/>
    </xf>
    <xf numFmtId="11" fontId="57" fillId="0" borderId="0" xfId="0" applyNumberFormat="1" applyFont="1" applyFill="1" applyBorder="1" applyAlignment="1">
      <alignment horizontal="left"/>
    </xf>
    <xf numFmtId="171" fontId="6" fillId="0" borderId="0" xfId="0" applyNumberFormat="1" applyFont="1" applyFill="1" applyBorder="1" applyAlignment="1">
      <alignment/>
    </xf>
    <xf numFmtId="0" fontId="55" fillId="0" borderId="0" xfId="0" applyNumberFormat="1" applyFont="1" applyFill="1" applyBorder="1" applyAlignment="1">
      <alignment horizontal="left"/>
    </xf>
    <xf numFmtId="0" fontId="10" fillId="34" borderId="0" xfId="0" applyFont="1" applyFill="1" applyBorder="1" applyAlignment="1">
      <alignment/>
    </xf>
    <xf numFmtId="0" fontId="6" fillId="34" borderId="17" xfId="0" applyFont="1" applyFill="1" applyBorder="1" applyAlignment="1">
      <alignment horizontal="right"/>
    </xf>
    <xf numFmtId="0" fontId="6" fillId="0" borderId="17" xfId="0" applyFont="1" applyFill="1" applyBorder="1" applyAlignment="1">
      <alignment/>
    </xf>
    <xf numFmtId="0" fontId="55" fillId="0" borderId="0" xfId="0" applyNumberFormat="1" applyFont="1" applyFill="1" applyBorder="1" applyAlignment="1">
      <alignment horizontal="center"/>
    </xf>
    <xf numFmtId="0" fontId="26" fillId="0" borderId="0" xfId="0" applyFont="1" applyFill="1" applyBorder="1" applyAlignment="1">
      <alignment horizontal="center"/>
    </xf>
    <xf numFmtId="168" fontId="26" fillId="0" borderId="0"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xf>
    <xf numFmtId="2" fontId="26" fillId="0" borderId="0" xfId="0" applyNumberFormat="1" applyFont="1" applyFill="1" applyBorder="1" applyAlignment="1">
      <alignment horizontal="left"/>
    </xf>
    <xf numFmtId="0" fontId="27" fillId="0" borderId="0" xfId="0" applyFont="1" applyFill="1" applyBorder="1" applyAlignment="1">
      <alignment horizontal="left"/>
    </xf>
    <xf numFmtId="166" fontId="27" fillId="0" borderId="0" xfId="0" applyNumberFormat="1" applyFont="1" applyFill="1" applyBorder="1" applyAlignment="1">
      <alignment horizontal="left"/>
    </xf>
    <xf numFmtId="2" fontId="19" fillId="0" borderId="0" xfId="0" applyNumberFormat="1" applyFont="1" applyFill="1" applyBorder="1" applyAlignment="1">
      <alignment horizontal="left"/>
    </xf>
    <xf numFmtId="167" fontId="50" fillId="0" borderId="0" xfId="0" applyNumberFormat="1" applyFont="1" applyFill="1" applyBorder="1" applyAlignment="1">
      <alignment horizontal="left"/>
    </xf>
    <xf numFmtId="2" fontId="27" fillId="0" borderId="0" xfId="0" applyNumberFormat="1"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Border="1" applyAlignment="1">
      <alignment horizontal="left"/>
    </xf>
    <xf numFmtId="0" fontId="53" fillId="0" borderId="0" xfId="0" applyFont="1" applyFill="1" applyBorder="1" applyAlignment="1">
      <alignment horizontal="left"/>
    </xf>
    <xf numFmtId="10" fontId="19" fillId="0" borderId="0" xfId="61" applyNumberFormat="1" applyFont="1" applyFill="1" applyBorder="1" applyAlignment="1">
      <alignment horizontal="right"/>
    </xf>
    <xf numFmtId="10" fontId="19" fillId="0" borderId="0" xfId="61" applyNumberFormat="1" applyFont="1" applyFill="1" applyBorder="1" applyAlignment="1">
      <alignment horizontal="left"/>
    </xf>
    <xf numFmtId="0" fontId="19" fillId="0" borderId="0" xfId="0" applyFont="1" applyFill="1" applyBorder="1" applyAlignment="1">
      <alignment horizontal="right"/>
    </xf>
    <xf numFmtId="0" fontId="27" fillId="0" borderId="0" xfId="0" applyFont="1" applyFill="1" applyBorder="1" applyAlignment="1">
      <alignment horizontal="center"/>
    </xf>
    <xf numFmtId="0" fontId="54" fillId="0" borderId="0" xfId="0" applyFont="1" applyFill="1" applyBorder="1" applyAlignment="1">
      <alignment/>
    </xf>
    <xf numFmtId="179" fontId="6" fillId="34" borderId="17" xfId="0" applyNumberFormat="1" applyFont="1" applyFill="1" applyBorder="1" applyAlignment="1">
      <alignment horizontal="left"/>
    </xf>
    <xf numFmtId="0" fontId="49" fillId="34" borderId="17" xfId="0" applyFont="1" applyFill="1" applyBorder="1" applyAlignment="1">
      <alignment/>
    </xf>
    <xf numFmtId="0" fontId="62" fillId="0" borderId="0" xfId="0" applyNumberFormat="1" applyFont="1" applyFill="1" applyBorder="1" applyAlignment="1">
      <alignment horizontal="left"/>
    </xf>
    <xf numFmtId="0" fontId="6" fillId="0" borderId="0" xfId="0" applyNumberFormat="1" applyFont="1" applyFill="1" applyBorder="1" applyAlignment="1">
      <alignment/>
    </xf>
    <xf numFmtId="0" fontId="6" fillId="0" borderId="0" xfId="0" applyNumberFormat="1" applyFont="1" applyFill="1" applyBorder="1" applyAlignment="1">
      <alignment horizontal="center"/>
    </xf>
    <xf numFmtId="0" fontId="10" fillId="34" borderId="17" xfId="0" applyFont="1" applyFill="1" applyBorder="1" applyAlignment="1">
      <alignment/>
    </xf>
    <xf numFmtId="0" fontId="1" fillId="0" borderId="29" xfId="0" applyFont="1" applyFill="1" applyBorder="1" applyAlignment="1">
      <alignment horizontal="center"/>
    </xf>
    <xf numFmtId="0" fontId="1" fillId="0" borderId="17" xfId="0" applyFont="1" applyFill="1" applyBorder="1" applyAlignment="1" applyProtection="1">
      <alignment horizontal="center"/>
      <protection locked="0"/>
    </xf>
    <xf numFmtId="0" fontId="6" fillId="34" borderId="0" xfId="0" applyNumberFormat="1" applyFont="1" applyFill="1" applyBorder="1" applyAlignment="1" applyProtection="1">
      <alignment horizontal="center" vertical="center"/>
      <protection locked="0"/>
    </xf>
    <xf numFmtId="0" fontId="6" fillId="34" borderId="23" xfId="0" applyNumberFormat="1" applyFont="1" applyFill="1" applyBorder="1" applyAlignment="1" applyProtection="1">
      <alignment horizontal="center" vertical="center"/>
      <protection locked="0"/>
    </xf>
    <xf numFmtId="0" fontId="6" fillId="34" borderId="0" xfId="0" applyFont="1" applyFill="1" applyBorder="1" applyAlignment="1" applyProtection="1">
      <alignment/>
      <protection/>
    </xf>
    <xf numFmtId="0" fontId="49" fillId="34" borderId="0" xfId="0" applyFont="1" applyFill="1" applyBorder="1" applyAlignment="1" applyProtection="1">
      <alignment/>
      <protection/>
    </xf>
    <xf numFmtId="0" fontId="19" fillId="34" borderId="0" xfId="0" applyFont="1" applyFill="1" applyBorder="1" applyAlignment="1" applyProtection="1">
      <alignment horizontal="center" wrapText="1"/>
      <protection/>
    </xf>
    <xf numFmtId="0" fontId="55" fillId="0" borderId="0" xfId="0" applyFont="1" applyFill="1" applyBorder="1" applyAlignment="1" applyProtection="1">
      <alignment/>
      <protection/>
    </xf>
    <xf numFmtId="0" fontId="72" fillId="0" borderId="0" xfId="0" applyFont="1" applyFill="1" applyBorder="1" applyAlignment="1" applyProtection="1">
      <alignment horizontal="left"/>
      <protection/>
    </xf>
    <xf numFmtId="0" fontId="56" fillId="0" borderId="0" xfId="0" applyFont="1" applyFill="1" applyBorder="1" applyAlignment="1" applyProtection="1">
      <alignment horizontal="center"/>
      <protection/>
    </xf>
    <xf numFmtId="4" fontId="57" fillId="0" borderId="0" xfId="0" applyNumberFormat="1" applyFont="1" applyFill="1" applyBorder="1" applyAlignment="1" applyProtection="1">
      <alignment horizontal="left"/>
      <protection/>
    </xf>
    <xf numFmtId="168" fontId="57" fillId="0" borderId="0" xfId="0" applyNumberFormat="1" applyFont="1" applyFill="1" applyBorder="1" applyAlignment="1" applyProtection="1">
      <alignment horizontal="left"/>
      <protection/>
    </xf>
    <xf numFmtId="0" fontId="57" fillId="0" borderId="0" xfId="0" applyNumberFormat="1" applyFont="1" applyFill="1" applyBorder="1" applyAlignment="1" applyProtection="1">
      <alignment horizontal="left"/>
      <protection/>
    </xf>
    <xf numFmtId="0" fontId="6" fillId="0" borderId="0" xfId="0" applyFont="1" applyFill="1" applyBorder="1" applyAlignment="1" applyProtection="1">
      <alignment/>
      <protection/>
    </xf>
    <xf numFmtId="11" fontId="6" fillId="0" borderId="0" xfId="0" applyNumberFormat="1" applyFont="1" applyFill="1" applyBorder="1" applyAlignment="1" applyProtection="1">
      <alignment/>
      <protection/>
    </xf>
    <xf numFmtId="0" fontId="57" fillId="0" borderId="0" xfId="0" applyNumberFormat="1" applyFont="1" applyFill="1" applyBorder="1" applyAlignment="1" applyProtection="1">
      <alignment horizontal="center"/>
      <protection/>
    </xf>
    <xf numFmtId="0" fontId="6" fillId="34" borderId="0" xfId="0" applyFont="1" applyFill="1" applyBorder="1" applyAlignment="1" applyProtection="1">
      <alignment horizontal="center"/>
      <protection/>
    </xf>
    <xf numFmtId="0" fontId="49" fillId="34" borderId="32"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34" borderId="0" xfId="0" applyNumberFormat="1" applyFont="1" applyFill="1" applyBorder="1" applyAlignment="1" applyProtection="1">
      <alignment horizontal="center" vertical="center"/>
      <protection/>
    </xf>
    <xf numFmtId="0" fontId="6" fillId="34" borderId="23"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protection/>
    </xf>
    <xf numFmtId="0" fontId="0" fillId="37" borderId="0" xfId="0" applyFill="1" applyAlignment="1" applyProtection="1">
      <alignment horizontal="center"/>
      <protection/>
    </xf>
    <xf numFmtId="0" fontId="0" fillId="37" borderId="0" xfId="0" applyFill="1" applyBorder="1" applyAlignment="1" applyProtection="1">
      <alignment horizontal="center"/>
      <protection/>
    </xf>
    <xf numFmtId="0" fontId="75" fillId="37" borderId="0" xfId="0" applyFont="1" applyFill="1" applyAlignment="1" applyProtection="1">
      <alignment horizontal="left"/>
      <protection/>
    </xf>
    <xf numFmtId="0" fontId="0" fillId="37" borderId="0" xfId="0" applyFill="1" applyAlignment="1" applyProtection="1">
      <alignment/>
      <protection/>
    </xf>
    <xf numFmtId="0" fontId="0" fillId="37" borderId="23" xfId="0" applyFill="1" applyBorder="1" applyAlignment="1" applyProtection="1">
      <alignment horizontal="center"/>
      <protection/>
    </xf>
    <xf numFmtId="0" fontId="0" fillId="37" borderId="16" xfId="0" applyFill="1" applyBorder="1" applyAlignment="1" applyProtection="1">
      <alignment horizontal="center"/>
      <protection/>
    </xf>
    <xf numFmtId="0" fontId="0" fillId="37" borderId="33" xfId="0" applyFill="1" applyBorder="1" applyAlignment="1" applyProtection="1">
      <alignment horizontal="center"/>
      <protection/>
    </xf>
    <xf numFmtId="0" fontId="0" fillId="37" borderId="34" xfId="0" applyFill="1" applyBorder="1" applyAlignment="1" applyProtection="1">
      <alignment horizontal="center"/>
      <protection/>
    </xf>
    <xf numFmtId="0" fontId="0" fillId="37" borderId="35" xfId="0" applyFill="1" applyBorder="1" applyAlignment="1" applyProtection="1">
      <alignment horizontal="center"/>
      <protection/>
    </xf>
    <xf numFmtId="0" fontId="6" fillId="37" borderId="0" xfId="0" applyFont="1" applyFill="1" applyAlignment="1" applyProtection="1">
      <alignment horizontal="center" wrapText="1"/>
      <protection/>
    </xf>
    <xf numFmtId="0" fontId="6" fillId="37" borderId="10" xfId="0" applyFont="1" applyFill="1" applyBorder="1" applyAlignment="1" applyProtection="1">
      <alignment horizontal="center" wrapText="1"/>
      <protection/>
    </xf>
    <xf numFmtId="0" fontId="6" fillId="37" borderId="0" xfId="0" applyFont="1" applyFill="1" applyBorder="1" applyAlignment="1" applyProtection="1">
      <alignment horizontal="center" wrapText="1"/>
      <protection/>
    </xf>
    <xf numFmtId="0" fontId="6" fillId="37" borderId="16" xfId="0" applyFont="1" applyFill="1" applyBorder="1" applyAlignment="1" applyProtection="1">
      <alignment horizontal="center" wrapText="1"/>
      <protection/>
    </xf>
    <xf numFmtId="0" fontId="6" fillId="37" borderId="0" xfId="0" applyFont="1" applyFill="1" applyAlignment="1" applyProtection="1">
      <alignment wrapText="1"/>
      <protection/>
    </xf>
    <xf numFmtId="0" fontId="6" fillId="37" borderId="0" xfId="0" applyFont="1" applyFill="1" applyAlignment="1" applyProtection="1">
      <alignment horizontal="center"/>
      <protection/>
    </xf>
    <xf numFmtId="167" fontId="6" fillId="37" borderId="10" xfId="0" applyNumberFormat="1" applyFont="1" applyFill="1" applyBorder="1" applyAlignment="1" applyProtection="1">
      <alignment horizontal="center"/>
      <protection/>
    </xf>
    <xf numFmtId="166" fontId="6" fillId="37" borderId="0" xfId="0" applyNumberFormat="1" applyFont="1" applyFill="1" applyBorder="1" applyAlignment="1" applyProtection="1">
      <alignment horizontal="center"/>
      <protection/>
    </xf>
    <xf numFmtId="166" fontId="6" fillId="37" borderId="16" xfId="0" applyNumberFormat="1" applyFont="1" applyFill="1" applyBorder="1" applyAlignment="1" applyProtection="1">
      <alignment horizontal="center"/>
      <protection/>
    </xf>
    <xf numFmtId="0" fontId="6" fillId="37" borderId="0" xfId="0" applyFont="1" applyFill="1" applyBorder="1" applyAlignment="1" applyProtection="1">
      <alignment horizontal="center"/>
      <protection/>
    </xf>
    <xf numFmtId="0" fontId="6" fillId="37" borderId="10" xfId="0" applyFont="1" applyFill="1" applyBorder="1" applyAlignment="1" applyProtection="1">
      <alignment horizontal="center"/>
      <protection/>
    </xf>
    <xf numFmtId="0" fontId="6" fillId="37" borderId="23" xfId="0" applyFont="1" applyFill="1" applyBorder="1" applyAlignment="1" applyProtection="1">
      <alignment horizontal="center"/>
      <protection/>
    </xf>
    <xf numFmtId="167" fontId="6" fillId="37" borderId="25" xfId="0" applyNumberFormat="1" applyFont="1" applyFill="1" applyBorder="1" applyAlignment="1" applyProtection="1">
      <alignment horizontal="center"/>
      <protection/>
    </xf>
    <xf numFmtId="166" fontId="6" fillId="37" borderId="23" xfId="0" applyNumberFormat="1" applyFont="1" applyFill="1" applyBorder="1" applyAlignment="1" applyProtection="1">
      <alignment horizontal="center"/>
      <protection/>
    </xf>
    <xf numFmtId="166" fontId="6" fillId="37" borderId="24" xfId="0" applyNumberFormat="1" applyFont="1" applyFill="1" applyBorder="1" applyAlignment="1" applyProtection="1">
      <alignment horizontal="center"/>
      <protection/>
    </xf>
    <xf numFmtId="0" fontId="6" fillId="37" borderId="25" xfId="0" applyFont="1" applyFill="1" applyBorder="1" applyAlignment="1" applyProtection="1">
      <alignment horizontal="center"/>
      <protection/>
    </xf>
    <xf numFmtId="166" fontId="55" fillId="37" borderId="0" xfId="0" applyNumberFormat="1" applyFont="1" applyFill="1" applyBorder="1" applyAlignment="1" applyProtection="1">
      <alignment horizontal="center"/>
      <protection/>
    </xf>
    <xf numFmtId="166" fontId="55" fillId="37" borderId="16" xfId="0" applyNumberFormat="1" applyFont="1" applyFill="1" applyBorder="1" applyAlignment="1" applyProtection="1">
      <alignment horizontal="center"/>
      <protection/>
    </xf>
    <xf numFmtId="169" fontId="55" fillId="37" borderId="0" xfId="0" applyNumberFormat="1" applyFont="1" applyFill="1" applyBorder="1" applyAlignment="1" applyProtection="1">
      <alignment horizontal="center"/>
      <protection/>
    </xf>
    <xf numFmtId="11" fontId="55" fillId="37" borderId="0" xfId="0" applyNumberFormat="1" applyFont="1" applyFill="1" applyBorder="1" applyAlignment="1" applyProtection="1">
      <alignment horizontal="center"/>
      <protection/>
    </xf>
    <xf numFmtId="0" fontId="55" fillId="37" borderId="0" xfId="0" applyFont="1" applyFill="1" applyBorder="1" applyAlignment="1" applyProtection="1">
      <alignment horizontal="center"/>
      <protection/>
    </xf>
    <xf numFmtId="11" fontId="55" fillId="37" borderId="16" xfId="0" applyNumberFormat="1" applyFont="1" applyFill="1" applyBorder="1" applyAlignment="1" applyProtection="1">
      <alignment horizontal="center"/>
      <protection/>
    </xf>
    <xf numFmtId="166" fontId="55" fillId="37" borderId="23" xfId="0" applyNumberFormat="1" applyFont="1" applyFill="1" applyBorder="1" applyAlignment="1" applyProtection="1">
      <alignment horizontal="center"/>
      <protection/>
    </xf>
    <xf numFmtId="166" fontId="55" fillId="37" borderId="24" xfId="0" applyNumberFormat="1" applyFont="1" applyFill="1" applyBorder="1" applyAlignment="1" applyProtection="1">
      <alignment horizontal="center"/>
      <protection/>
    </xf>
    <xf numFmtId="169" fontId="55" fillId="37" borderId="23" xfId="0" applyNumberFormat="1" applyFont="1" applyFill="1" applyBorder="1" applyAlignment="1" applyProtection="1">
      <alignment horizontal="center"/>
      <protection/>
    </xf>
    <xf numFmtId="0" fontId="55" fillId="37" borderId="0" xfId="0" applyFont="1" applyFill="1" applyBorder="1" applyAlignment="1" applyProtection="1">
      <alignment horizontal="left"/>
      <protection/>
    </xf>
    <xf numFmtId="0" fontId="6" fillId="37" borderId="0" xfId="0" applyFont="1" applyFill="1" applyAlignment="1" applyProtection="1">
      <alignment/>
      <protection/>
    </xf>
    <xf numFmtId="169" fontId="55" fillId="37" borderId="0" xfId="0" applyNumberFormat="1" applyFont="1" applyFill="1" applyBorder="1" applyAlignment="1" applyProtection="1">
      <alignment/>
      <protection/>
    </xf>
    <xf numFmtId="0" fontId="6" fillId="34" borderId="36" xfId="0" applyFont="1" applyFill="1" applyBorder="1" applyAlignment="1">
      <alignment horizontal="center" vertical="center"/>
    </xf>
    <xf numFmtId="0" fontId="6" fillId="37" borderId="23" xfId="0" applyNumberFormat="1" applyFont="1" applyFill="1" applyBorder="1" applyAlignment="1" applyProtection="1">
      <alignment horizontal="center"/>
      <protection/>
    </xf>
    <xf numFmtId="0" fontId="76" fillId="37" borderId="16" xfId="0" applyFont="1" applyFill="1" applyBorder="1" applyAlignment="1" applyProtection="1">
      <alignment wrapText="1"/>
      <protection/>
    </xf>
    <xf numFmtId="0" fontId="6" fillId="37" borderId="0" xfId="0" applyFont="1" applyFill="1" applyAlignment="1" applyProtection="1">
      <alignment horizontal="center" vertical="center" wrapText="1"/>
      <protection/>
    </xf>
    <xf numFmtId="0" fontId="6" fillId="37" borderId="16" xfId="0" applyFont="1" applyFill="1" applyBorder="1" applyAlignment="1" applyProtection="1">
      <alignment horizontal="center" vertical="center" wrapText="1"/>
      <protection/>
    </xf>
    <xf numFmtId="0" fontId="6" fillId="37" borderId="10" xfId="0" applyFont="1" applyFill="1" applyBorder="1" applyAlignment="1" applyProtection="1">
      <alignment horizontal="center" vertical="center" wrapText="1"/>
      <protection/>
    </xf>
    <xf numFmtId="0" fontId="79" fillId="37" borderId="0" xfId="0" applyFont="1" applyFill="1" applyAlignment="1" applyProtection="1">
      <alignment horizontal="center" wrapText="1"/>
      <protection/>
    </xf>
    <xf numFmtId="0" fontId="79" fillId="37" borderId="16" xfId="0" applyFont="1" applyFill="1" applyBorder="1" applyAlignment="1" applyProtection="1">
      <alignment horizontal="center" wrapText="1"/>
      <protection/>
    </xf>
    <xf numFmtId="0" fontId="79" fillId="37" borderId="10" xfId="0" applyFont="1" applyFill="1" applyBorder="1" applyAlignment="1" applyProtection="1">
      <alignment horizontal="center" wrapText="1"/>
      <protection/>
    </xf>
    <xf numFmtId="167" fontId="6" fillId="37" borderId="37" xfId="0" applyNumberFormat="1" applyFont="1" applyFill="1" applyBorder="1" applyAlignment="1" applyProtection="1">
      <alignment horizontal="center"/>
      <protection/>
    </xf>
    <xf numFmtId="166" fontId="6" fillId="37" borderId="17" xfId="0" applyNumberFormat="1" applyFont="1" applyFill="1" applyBorder="1" applyAlignment="1" applyProtection="1">
      <alignment horizontal="center"/>
      <protection/>
    </xf>
    <xf numFmtId="166" fontId="6" fillId="37" borderId="38" xfId="0" applyNumberFormat="1" applyFont="1" applyFill="1" applyBorder="1" applyAlignment="1" applyProtection="1">
      <alignment horizontal="center"/>
      <protection/>
    </xf>
    <xf numFmtId="0" fontId="6" fillId="37" borderId="17" xfId="0" applyFont="1" applyFill="1" applyBorder="1" applyAlignment="1" applyProtection="1">
      <alignment horizontal="center"/>
      <protection/>
    </xf>
    <xf numFmtId="0" fontId="6" fillId="37" borderId="12" xfId="0" applyFont="1" applyFill="1" applyBorder="1" applyAlignment="1" applyProtection="1">
      <alignment horizontal="center" wrapText="1"/>
      <protection/>
    </xf>
    <xf numFmtId="0" fontId="6" fillId="37" borderId="15" xfId="0" applyFont="1" applyFill="1" applyBorder="1" applyAlignment="1" applyProtection="1">
      <alignment horizontal="center" wrapText="1"/>
      <protection/>
    </xf>
    <xf numFmtId="0" fontId="6" fillId="37" borderId="11" xfId="0" applyFont="1" applyFill="1" applyBorder="1" applyAlignment="1" applyProtection="1">
      <alignment horizontal="center" wrapText="1"/>
      <protection/>
    </xf>
    <xf numFmtId="165" fontId="6" fillId="0" borderId="17" xfId="0" applyNumberFormat="1" applyFont="1" applyFill="1" applyBorder="1" applyAlignment="1">
      <alignment horizontal="center"/>
    </xf>
    <xf numFmtId="168" fontId="0" fillId="0" borderId="38" xfId="0" applyNumberFormat="1" applyFill="1" applyBorder="1" applyAlignment="1">
      <alignment horizontal="center"/>
    </xf>
    <xf numFmtId="167" fontId="6" fillId="0" borderId="37" xfId="0" applyNumberFormat="1" applyFont="1" applyFill="1" applyBorder="1" applyAlignment="1">
      <alignment horizontal="center"/>
    </xf>
    <xf numFmtId="166" fontId="6" fillId="0" borderId="17" xfId="0" applyNumberFormat="1" applyFont="1" applyFill="1" applyBorder="1" applyAlignment="1">
      <alignment horizontal="center"/>
    </xf>
    <xf numFmtId="11" fontId="6" fillId="0" borderId="37" xfId="0" applyNumberFormat="1" applyFont="1" applyFill="1" applyBorder="1" applyAlignment="1">
      <alignment horizontal="center"/>
    </xf>
    <xf numFmtId="11" fontId="6" fillId="0" borderId="17" xfId="0" applyNumberFormat="1" applyFont="1" applyFill="1" applyBorder="1" applyAlignment="1">
      <alignment horizontal="center"/>
    </xf>
    <xf numFmtId="11" fontId="0" fillId="0" borderId="37" xfId="0" applyNumberFormat="1" applyFill="1" applyBorder="1" applyAlignment="1">
      <alignment horizontal="center"/>
    </xf>
    <xf numFmtId="11" fontId="0" fillId="0" borderId="18" xfId="0" applyNumberFormat="1" applyFill="1" applyBorder="1" applyAlignment="1">
      <alignment horizontal="center"/>
    </xf>
    <xf numFmtId="11" fontId="0" fillId="0" borderId="17" xfId="0" applyNumberFormat="1" applyFill="1" applyBorder="1" applyAlignment="1">
      <alignment horizontal="center"/>
    </xf>
    <xf numFmtId="11" fontId="0" fillId="0" borderId="38" xfId="0" applyNumberFormat="1" applyFill="1" applyBorder="1" applyAlignment="1">
      <alignment horizontal="center"/>
    </xf>
    <xf numFmtId="0" fontId="6" fillId="34" borderId="0" xfId="0" applyFont="1" applyFill="1" applyBorder="1" applyAlignment="1">
      <alignment vertical="center"/>
    </xf>
    <xf numFmtId="0" fontId="6" fillId="34" borderId="0" xfId="61" applyNumberFormat="1" applyFont="1" applyFill="1" applyBorder="1" applyAlignment="1">
      <alignment horizontal="center" vertical="center"/>
    </xf>
    <xf numFmtId="0" fontId="52" fillId="34" borderId="10" xfId="61" applyNumberFormat="1" applyFont="1" applyFill="1" applyBorder="1" applyAlignment="1">
      <alignment horizontal="center" vertical="center"/>
    </xf>
    <xf numFmtId="175" fontId="40" fillId="34" borderId="0" xfId="61" applyNumberFormat="1" applyFont="1" applyFill="1" applyBorder="1" applyAlignment="1">
      <alignment horizontal="left" vertical="center"/>
    </xf>
    <xf numFmtId="0" fontId="26" fillId="34" borderId="0" xfId="0" applyFont="1" applyFill="1" applyBorder="1" applyAlignment="1">
      <alignment horizontal="center" vertical="center"/>
    </xf>
    <xf numFmtId="0" fontId="6" fillId="34" borderId="0" xfId="0" applyFont="1" applyFill="1" applyBorder="1" applyAlignment="1">
      <alignment horizontal="center" vertical="center" wrapText="1"/>
    </xf>
    <xf numFmtId="0" fontId="19" fillId="34" borderId="0" xfId="0" applyFont="1" applyFill="1" applyBorder="1" applyAlignment="1">
      <alignment horizontal="center" vertical="center" wrapText="1"/>
    </xf>
    <xf numFmtId="0" fontId="6" fillId="0" borderId="0" xfId="0" applyFont="1" applyFill="1" applyBorder="1" applyAlignment="1">
      <alignment vertical="center"/>
    </xf>
    <xf numFmtId="0" fontId="6" fillId="34" borderId="0" xfId="0" applyNumberFormat="1" applyFont="1" applyFill="1" applyBorder="1" applyAlignment="1">
      <alignment vertical="center"/>
    </xf>
    <xf numFmtId="0" fontId="49" fillId="34" borderId="0" xfId="0" applyNumberFormat="1" applyFont="1" applyFill="1" applyBorder="1" applyAlignment="1">
      <alignment vertical="center"/>
    </xf>
    <xf numFmtId="0" fontId="49" fillId="34" borderId="0" xfId="0" applyFont="1" applyFill="1" applyBorder="1" applyAlignment="1">
      <alignment vertical="center"/>
    </xf>
    <xf numFmtId="0" fontId="7" fillId="34" borderId="0" xfId="0" applyFont="1" applyFill="1" applyBorder="1" applyAlignment="1">
      <alignment vertical="center"/>
    </xf>
    <xf numFmtId="175" fontId="6" fillId="0" borderId="0" xfId="61" applyNumberFormat="1" applyFont="1" applyFill="1" applyBorder="1"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horizontal="left" vertical="center"/>
    </xf>
    <xf numFmtId="2" fontId="26" fillId="0" borderId="0" xfId="0" applyNumberFormat="1" applyFont="1" applyFill="1" applyBorder="1" applyAlignment="1">
      <alignment horizontal="left" vertical="center"/>
    </xf>
    <xf numFmtId="2" fontId="6" fillId="0" borderId="0" xfId="0" applyNumberFormat="1" applyFont="1" applyFill="1" applyBorder="1" applyAlignment="1">
      <alignment vertical="center"/>
    </xf>
    <xf numFmtId="2" fontId="26" fillId="0" borderId="0" xfId="0" applyNumberFormat="1" applyFont="1" applyFill="1" applyBorder="1" applyAlignment="1">
      <alignment horizontal="center" vertical="center"/>
    </xf>
    <xf numFmtId="0" fontId="26" fillId="0" borderId="0" xfId="0" applyFont="1" applyFill="1" applyBorder="1" applyAlignment="1">
      <alignment horizontal="left" vertical="center"/>
    </xf>
    <xf numFmtId="0" fontId="6" fillId="0" borderId="0" xfId="0" applyFont="1" applyFill="1" applyBorder="1" applyAlignment="1">
      <alignment horizontal="center" vertical="center"/>
    </xf>
    <xf numFmtId="167" fontId="26" fillId="0" borderId="0" xfId="0" applyNumberFormat="1" applyFont="1" applyFill="1" applyBorder="1" applyAlignment="1" applyProtection="1">
      <alignment horizontal="center" vertical="center"/>
      <protection locked="0"/>
    </xf>
    <xf numFmtId="165" fontId="26" fillId="0" borderId="0" xfId="0" applyNumberFormat="1" applyFont="1" applyFill="1" applyBorder="1" applyAlignment="1">
      <alignment vertical="center"/>
    </xf>
    <xf numFmtId="11" fontId="0" fillId="0" borderId="39" xfId="0" applyNumberFormat="1" applyFill="1" applyBorder="1" applyAlignment="1">
      <alignment horizontal="center"/>
    </xf>
    <xf numFmtId="0" fontId="0" fillId="37" borderId="29" xfId="0" applyFill="1" applyBorder="1" applyAlignment="1" applyProtection="1">
      <alignment horizontal="center" vertical="center"/>
      <protection/>
    </xf>
    <xf numFmtId="0" fontId="63" fillId="37" borderId="31" xfId="0" applyFont="1" applyFill="1" applyBorder="1" applyAlignment="1" applyProtection="1">
      <alignment horizontal="center" vertical="center"/>
      <protection/>
    </xf>
    <xf numFmtId="0" fontId="9" fillId="37" borderId="28" xfId="0" applyFont="1" applyFill="1" applyBorder="1" applyAlignment="1" applyProtection="1">
      <alignment horizontal="left" vertical="center"/>
      <protection/>
    </xf>
    <xf numFmtId="0" fontId="19" fillId="34" borderId="0" xfId="0" applyFont="1" applyFill="1" applyBorder="1" applyAlignment="1">
      <alignment horizontal="center" vertical="center"/>
    </xf>
    <xf numFmtId="0" fontId="19" fillId="34" borderId="0" xfId="0" applyFont="1" applyFill="1" applyBorder="1" applyAlignment="1">
      <alignment vertical="center"/>
    </xf>
    <xf numFmtId="0" fontId="19" fillId="0" borderId="0" xfId="0" applyFont="1" applyFill="1" applyBorder="1" applyAlignment="1">
      <alignment vertical="center"/>
    </xf>
    <xf numFmtId="169" fontId="48" fillId="34" borderId="0" xfId="0" applyNumberFormat="1" applyFont="1" applyFill="1" applyBorder="1" applyAlignment="1" applyProtection="1">
      <alignment horizontal="center" vertical="center"/>
      <protection/>
    </xf>
    <xf numFmtId="0" fontId="6" fillId="34"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6" fillId="34" borderId="0" xfId="0" applyFont="1" applyFill="1" applyBorder="1" applyAlignment="1" applyProtection="1">
      <alignment vertical="center"/>
      <protection/>
    </xf>
    <xf numFmtId="0" fontId="31" fillId="34" borderId="0" xfId="0" applyFont="1" applyFill="1" applyBorder="1" applyAlignment="1" applyProtection="1">
      <alignment horizontal="left" vertical="center"/>
      <protection/>
    </xf>
    <xf numFmtId="2" fontId="26" fillId="34" borderId="0" xfId="0" applyNumberFormat="1" applyFont="1" applyFill="1" applyBorder="1" applyAlignment="1" applyProtection="1">
      <alignment horizontal="left" vertical="center"/>
      <protection/>
    </xf>
    <xf numFmtId="0" fontId="6" fillId="37" borderId="0" xfId="0" applyFont="1" applyFill="1" applyAlignment="1" applyProtection="1">
      <alignment horizontal="left" vertical="center"/>
      <protection/>
    </xf>
    <xf numFmtId="0" fontId="6" fillId="37" borderId="23" xfId="0" applyFont="1" applyFill="1" applyBorder="1" applyAlignment="1" applyProtection="1">
      <alignment horizontal="left" vertical="center"/>
      <protection/>
    </xf>
    <xf numFmtId="0" fontId="6" fillId="37" borderId="0" xfId="0" applyFont="1" applyFill="1" applyBorder="1" applyAlignment="1" applyProtection="1">
      <alignment horizontal="left" vertical="center"/>
      <protection/>
    </xf>
    <xf numFmtId="1" fontId="55" fillId="37" borderId="0" xfId="0" applyNumberFormat="1" applyFont="1" applyFill="1" applyBorder="1" applyAlignment="1" applyProtection="1">
      <alignment horizontal="left" vertical="center"/>
      <protection/>
    </xf>
    <xf numFmtId="1" fontId="55" fillId="37" borderId="23" xfId="0" applyNumberFormat="1" applyFont="1" applyFill="1" applyBorder="1" applyAlignment="1" applyProtection="1">
      <alignment horizontal="left" vertical="center"/>
      <protection/>
    </xf>
    <xf numFmtId="1" fontId="81" fillId="37" borderId="0" xfId="0" applyNumberFormat="1" applyFont="1" applyFill="1" applyBorder="1" applyAlignment="1" applyProtection="1">
      <alignment horizontal="left"/>
      <protection/>
    </xf>
    <xf numFmtId="14" fontId="13" fillId="0" borderId="0" xfId="0" applyNumberFormat="1" applyFont="1" applyAlignment="1">
      <alignment horizontal="left"/>
    </xf>
    <xf numFmtId="0" fontId="13" fillId="0" borderId="0" xfId="0" applyFont="1" applyAlignment="1">
      <alignment horizontal="left"/>
    </xf>
    <xf numFmtId="0" fontId="3" fillId="0" borderId="0" xfId="0" applyFont="1" applyAlignment="1">
      <alignment horizontal="right"/>
    </xf>
    <xf numFmtId="0" fontId="90" fillId="0" borderId="0" xfId="0" applyFont="1" applyAlignment="1">
      <alignment horizontal="right"/>
    </xf>
    <xf numFmtId="14" fontId="6" fillId="34" borderId="0" xfId="0" applyNumberFormat="1" applyFont="1" applyFill="1" applyBorder="1" applyAlignment="1" applyProtection="1">
      <alignment horizontal="left" vertical="center"/>
      <protection/>
    </xf>
    <xf numFmtId="0" fontId="13" fillId="0" borderId="0" xfId="0" applyFont="1" applyAlignment="1">
      <alignment/>
    </xf>
    <xf numFmtId="0" fontId="92" fillId="0" borderId="0" xfId="0" applyFont="1" applyAlignment="1">
      <alignment horizontal="right"/>
    </xf>
    <xf numFmtId="14" fontId="92" fillId="0" borderId="0" xfId="0" applyNumberFormat="1" applyFont="1" applyAlignment="1">
      <alignment horizontal="left"/>
    </xf>
    <xf numFmtId="0" fontId="14" fillId="0" borderId="0" xfId="0" applyFont="1" applyAlignment="1">
      <alignment/>
    </xf>
    <xf numFmtId="0" fontId="92" fillId="0" borderId="0" xfId="0" applyFont="1" applyAlignment="1">
      <alignment horizontal="left"/>
    </xf>
    <xf numFmtId="0" fontId="92" fillId="0" borderId="0" xfId="0" applyFont="1" applyAlignment="1">
      <alignment/>
    </xf>
    <xf numFmtId="0" fontId="6" fillId="34" borderId="23" xfId="0" applyFont="1" applyFill="1" applyBorder="1" applyAlignment="1" applyProtection="1">
      <alignment horizontal="right"/>
      <protection/>
    </xf>
    <xf numFmtId="14" fontId="6" fillId="34" borderId="23" xfId="0" applyNumberFormat="1" applyFont="1" applyFill="1" applyBorder="1" applyAlignment="1" applyProtection="1">
      <alignment horizontal="left"/>
      <protection/>
    </xf>
    <xf numFmtId="0" fontId="8" fillId="34" borderId="17" xfId="0" applyFont="1" applyFill="1" applyBorder="1" applyAlignment="1" applyProtection="1">
      <alignment/>
      <protection/>
    </xf>
    <xf numFmtId="0" fontId="19" fillId="34" borderId="11" xfId="0" applyFont="1" applyFill="1" applyBorder="1" applyAlignment="1" applyProtection="1">
      <alignment horizontal="center" vertical="center" wrapText="1"/>
      <protection/>
    </xf>
    <xf numFmtId="0" fontId="19" fillId="34" borderId="12" xfId="0" applyFont="1" applyFill="1" applyBorder="1" applyAlignment="1" applyProtection="1">
      <alignment horizontal="center" vertical="center"/>
      <protection/>
    </xf>
    <xf numFmtId="0" fontId="19" fillId="38" borderId="11" xfId="0" applyFont="1" applyFill="1" applyBorder="1" applyAlignment="1" applyProtection="1">
      <alignment horizontal="center" vertical="center"/>
      <protection/>
    </xf>
    <xf numFmtId="0" fontId="19" fillId="38" borderId="40" xfId="0" applyFont="1" applyFill="1" applyBorder="1" applyAlignment="1" applyProtection="1">
      <alignment horizontal="center" vertical="center"/>
      <protection/>
    </xf>
    <xf numFmtId="0" fontId="19" fillId="38" borderId="12" xfId="0" applyFont="1" applyFill="1" applyBorder="1" applyAlignment="1" applyProtection="1">
      <alignment horizontal="center" vertical="center"/>
      <protection/>
    </xf>
    <xf numFmtId="0" fontId="19" fillId="38" borderId="41" xfId="0" applyFont="1" applyFill="1" applyBorder="1" applyAlignment="1" applyProtection="1">
      <alignment horizontal="center" vertical="center"/>
      <protection/>
    </xf>
    <xf numFmtId="0" fontId="6" fillId="38" borderId="10" xfId="0" applyFont="1" applyFill="1" applyBorder="1" applyAlignment="1" applyProtection="1">
      <alignment horizontal="center"/>
      <protection/>
    </xf>
    <xf numFmtId="0" fontId="6" fillId="38" borderId="42" xfId="0" applyFont="1" applyFill="1" applyBorder="1" applyAlignment="1" applyProtection="1">
      <alignment horizontal="center"/>
      <protection/>
    </xf>
    <xf numFmtId="0" fontId="6" fillId="38" borderId="0" xfId="0" applyFont="1" applyFill="1" applyBorder="1" applyAlignment="1" applyProtection="1">
      <alignment horizontal="center"/>
      <protection/>
    </xf>
    <xf numFmtId="0" fontId="6" fillId="38" borderId="27" xfId="0" applyFont="1" applyFill="1" applyBorder="1" applyAlignment="1" applyProtection="1">
      <alignment horizontal="center"/>
      <protection/>
    </xf>
    <xf numFmtId="11" fontId="6" fillId="34" borderId="0" xfId="0" applyNumberFormat="1" applyFont="1" applyFill="1" applyBorder="1" applyAlignment="1" applyProtection="1">
      <alignment horizontal="center"/>
      <protection/>
    </xf>
    <xf numFmtId="0" fontId="8" fillId="34" borderId="25" xfId="0" applyFont="1" applyFill="1" applyBorder="1" applyAlignment="1" applyProtection="1">
      <alignment horizontal="center"/>
      <protection/>
    </xf>
    <xf numFmtId="168" fontId="9" fillId="0" borderId="0" xfId="0" applyNumberFormat="1" applyFont="1" applyAlignment="1">
      <alignment/>
    </xf>
    <xf numFmtId="0" fontId="9" fillId="0" borderId="0" xfId="0" applyFont="1" applyAlignment="1">
      <alignment horizontal="center"/>
    </xf>
    <xf numFmtId="0" fontId="63" fillId="0" borderId="0" xfId="0" applyFont="1" applyAlignment="1">
      <alignment/>
    </xf>
    <xf numFmtId="0" fontId="0" fillId="0" borderId="22" xfId="0" applyFill="1" applyBorder="1" applyAlignment="1">
      <alignment/>
    </xf>
    <xf numFmtId="0" fontId="8" fillId="38" borderId="21" xfId="0" applyFont="1" applyFill="1" applyBorder="1" applyAlignment="1" applyProtection="1">
      <alignment/>
      <protection/>
    </xf>
    <xf numFmtId="0" fontId="19" fillId="38" borderId="43" xfId="0" applyFont="1" applyFill="1" applyBorder="1" applyAlignment="1" applyProtection="1">
      <alignment horizontal="center" vertical="center"/>
      <protection/>
    </xf>
    <xf numFmtId="0" fontId="19" fillId="38" borderId="13" xfId="0" applyFont="1" applyFill="1" applyBorder="1" applyAlignment="1" applyProtection="1">
      <alignment horizontal="center" vertical="center"/>
      <protection/>
    </xf>
    <xf numFmtId="0" fontId="6" fillId="38" borderId="44" xfId="0" applyFont="1" applyFill="1" applyBorder="1" applyAlignment="1" applyProtection="1">
      <alignment horizontal="center"/>
      <protection/>
    </xf>
    <xf numFmtId="0" fontId="6" fillId="38" borderId="14" xfId="0" applyFont="1" applyFill="1" applyBorder="1" applyAlignment="1" applyProtection="1">
      <alignment horizontal="center"/>
      <protection/>
    </xf>
    <xf numFmtId="0" fontId="19" fillId="38" borderId="11" xfId="0" applyFont="1" applyFill="1" applyBorder="1" applyAlignment="1" applyProtection="1">
      <alignment horizontal="center" vertical="center" wrapText="1"/>
      <protection/>
    </xf>
    <xf numFmtId="0" fontId="7" fillId="38" borderId="10" xfId="0" applyFont="1" applyFill="1" applyBorder="1" applyAlignment="1" applyProtection="1">
      <alignment/>
      <protection/>
    </xf>
    <xf numFmtId="0" fontId="2" fillId="38" borderId="21" xfId="0" applyFont="1" applyFill="1" applyBorder="1" applyAlignment="1" applyProtection="1">
      <alignment/>
      <protection/>
    </xf>
    <xf numFmtId="0" fontId="0" fillId="38" borderId="21" xfId="0" applyFill="1" applyBorder="1" applyAlignment="1" applyProtection="1">
      <alignment/>
      <protection/>
    </xf>
    <xf numFmtId="0" fontId="8" fillId="38" borderId="21" xfId="0" applyFont="1" applyFill="1" applyBorder="1" applyAlignment="1" applyProtection="1">
      <alignment/>
      <protection/>
    </xf>
    <xf numFmtId="0" fontId="2" fillId="38" borderId="45" xfId="0" applyFont="1" applyFill="1" applyBorder="1" applyAlignment="1" applyProtection="1">
      <alignment/>
      <protection/>
    </xf>
    <xf numFmtId="0" fontId="6" fillId="38" borderId="46" xfId="0" applyFont="1" applyFill="1" applyBorder="1" applyAlignment="1" applyProtection="1">
      <alignment/>
      <protection/>
    </xf>
    <xf numFmtId="0" fontId="19" fillId="34" borderId="0" xfId="61" applyNumberFormat="1" applyFont="1" applyFill="1" applyBorder="1" applyAlignment="1">
      <alignment horizontal="center" vertical="center"/>
    </xf>
    <xf numFmtId="11" fontId="19" fillId="38" borderId="47" xfId="61" applyNumberFormat="1" applyFont="1" applyFill="1" applyBorder="1" applyAlignment="1">
      <alignment horizontal="center" vertical="center"/>
    </xf>
    <xf numFmtId="11" fontId="19" fillId="38" borderId="0" xfId="61" applyNumberFormat="1" applyFont="1" applyFill="1" applyBorder="1" applyAlignment="1">
      <alignment horizontal="center" vertical="center"/>
    </xf>
    <xf numFmtId="11" fontId="19" fillId="38" borderId="14" xfId="61" applyNumberFormat="1" applyFont="1" applyFill="1" applyBorder="1" applyAlignment="1">
      <alignment horizontal="center" vertical="center"/>
    </xf>
    <xf numFmtId="11" fontId="19" fillId="38" borderId="16" xfId="61" applyNumberFormat="1" applyFont="1" applyFill="1" applyBorder="1" applyAlignment="1">
      <alignment horizontal="center" vertical="center"/>
    </xf>
    <xf numFmtId="11" fontId="19" fillId="34" borderId="0" xfId="61" applyNumberFormat="1" applyFont="1" applyFill="1" applyBorder="1" applyAlignment="1">
      <alignment horizontal="center" vertical="center"/>
    </xf>
    <xf numFmtId="11" fontId="95" fillId="38" borderId="16" xfId="61" applyNumberFormat="1" applyFont="1" applyFill="1" applyBorder="1" applyAlignment="1">
      <alignment horizontal="center" vertical="center"/>
    </xf>
    <xf numFmtId="11" fontId="95" fillId="34" borderId="0" xfId="61" applyNumberFormat="1" applyFont="1" applyFill="1" applyBorder="1" applyAlignment="1">
      <alignment horizontal="center" vertical="center"/>
    </xf>
    <xf numFmtId="11" fontId="6" fillId="0" borderId="0" xfId="0" applyNumberFormat="1" applyFont="1" applyFill="1" applyBorder="1" applyAlignment="1">
      <alignment/>
    </xf>
    <xf numFmtId="0" fontId="97" fillId="34" borderId="10" xfId="0" applyFont="1" applyFill="1" applyBorder="1" applyAlignment="1" applyProtection="1">
      <alignment/>
      <protection/>
    </xf>
    <xf numFmtId="0" fontId="19" fillId="34" borderId="48" xfId="0" applyFont="1" applyFill="1" applyBorder="1" applyAlignment="1">
      <alignment horizontal="center" vertical="center" wrapText="1"/>
    </xf>
    <xf numFmtId="0" fontId="19" fillId="34" borderId="32"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2" xfId="0" applyNumberFormat="1" applyFont="1" applyFill="1" applyBorder="1" applyAlignment="1">
      <alignment horizontal="center" vertical="center"/>
    </xf>
    <xf numFmtId="0" fontId="19" fillId="38" borderId="49" xfId="0" applyNumberFormat="1" applyFont="1" applyFill="1" applyBorder="1" applyAlignment="1">
      <alignment horizontal="center" vertical="center"/>
    </xf>
    <xf numFmtId="0" fontId="19" fillId="38" borderId="12" xfId="0" applyNumberFormat="1" applyFont="1" applyFill="1" applyBorder="1" applyAlignment="1">
      <alignment horizontal="center" vertical="center"/>
    </xf>
    <xf numFmtId="0" fontId="19" fillId="38" borderId="13" xfId="0" applyNumberFormat="1" applyFont="1" applyFill="1" applyBorder="1" applyAlignment="1">
      <alignment horizontal="center" vertical="center"/>
    </xf>
    <xf numFmtId="0" fontId="19" fillId="38" borderId="15" xfId="0" applyNumberFormat="1" applyFont="1" applyFill="1" applyBorder="1" applyAlignment="1">
      <alignment horizontal="center" vertical="center"/>
    </xf>
    <xf numFmtId="0" fontId="26" fillId="34" borderId="0" xfId="0" applyFont="1" applyFill="1" applyBorder="1" applyAlignment="1">
      <alignment horizontal="right" vertical="center"/>
    </xf>
    <xf numFmtId="0" fontId="6" fillId="34" borderId="0" xfId="0" applyFont="1" applyFill="1" applyBorder="1" applyAlignment="1" applyProtection="1">
      <alignment vertical="center"/>
      <protection locked="0"/>
    </xf>
    <xf numFmtId="0" fontId="6" fillId="34" borderId="0" xfId="0" applyFont="1" applyFill="1" applyBorder="1" applyAlignment="1">
      <alignment horizontal="center" vertical="center"/>
    </xf>
    <xf numFmtId="0" fontId="26" fillId="0" borderId="0" xfId="0" applyFont="1" applyFill="1" applyBorder="1" applyAlignment="1">
      <alignment horizontal="center" vertical="center"/>
    </xf>
    <xf numFmtId="2" fontId="40" fillId="0" borderId="0" xfId="0" applyNumberFormat="1" applyFont="1" applyFill="1" applyBorder="1" applyAlignment="1">
      <alignment vertical="center"/>
    </xf>
    <xf numFmtId="0" fontId="6" fillId="0" borderId="0" xfId="0" applyFont="1" applyFill="1" applyAlignment="1">
      <alignment/>
    </xf>
    <xf numFmtId="0" fontId="6" fillId="0" borderId="0" xfId="0" applyNumberFormat="1" applyFont="1" applyFill="1" applyAlignment="1">
      <alignment horizontal="center"/>
    </xf>
    <xf numFmtId="0" fontId="1" fillId="0" borderId="0" xfId="0" applyFont="1" applyFill="1" applyAlignment="1">
      <alignment/>
    </xf>
    <xf numFmtId="11" fontId="1" fillId="0" borderId="0" xfId="0" applyNumberFormat="1" applyFont="1" applyFill="1" applyBorder="1" applyAlignment="1">
      <alignment/>
    </xf>
    <xf numFmtId="0" fontId="2" fillId="0" borderId="0" xfId="0" applyFont="1" applyFill="1" applyBorder="1" applyAlignment="1">
      <alignment/>
    </xf>
    <xf numFmtId="0" fontId="1" fillId="0" borderId="12" xfId="0" applyFont="1" applyFill="1" applyBorder="1" applyAlignment="1">
      <alignment/>
    </xf>
    <xf numFmtId="0" fontId="27" fillId="0" borderId="0" xfId="0" applyFont="1" applyBorder="1" applyAlignment="1">
      <alignment horizontal="left" wrapText="1"/>
    </xf>
    <xf numFmtId="166" fontId="0" fillId="0" borderId="0" xfId="0" applyNumberFormat="1" applyFill="1" applyAlignment="1">
      <alignment/>
    </xf>
    <xf numFmtId="174" fontId="0" fillId="0" borderId="0" xfId="0" applyNumberFormat="1" applyBorder="1" applyAlignment="1">
      <alignment/>
    </xf>
    <xf numFmtId="174" fontId="0" fillId="0" borderId="0" xfId="0" applyNumberFormat="1" applyFill="1" applyAlignment="1">
      <alignment/>
    </xf>
    <xf numFmtId="11" fontId="1" fillId="0" borderId="0" xfId="0" applyNumberFormat="1" applyFont="1" applyFill="1" applyAlignment="1">
      <alignment/>
    </xf>
    <xf numFmtId="11" fontId="13" fillId="0" borderId="0" xfId="0" applyNumberFormat="1" applyFont="1" applyFill="1" applyAlignment="1">
      <alignment/>
    </xf>
    <xf numFmtId="174" fontId="0" fillId="0" borderId="0" xfId="61" applyNumberFormat="1" applyFont="1" applyBorder="1" applyAlignment="1">
      <alignment/>
    </xf>
    <xf numFmtId="14" fontId="102" fillId="0" borderId="0" xfId="0" applyNumberFormat="1" applyFont="1" applyAlignment="1">
      <alignment horizontal="left"/>
    </xf>
    <xf numFmtId="0" fontId="102" fillId="0" borderId="0" xfId="0" applyFont="1" applyAlignment="1">
      <alignment horizontal="left"/>
    </xf>
    <xf numFmtId="0" fontId="6" fillId="0" borderId="20" xfId="0" applyNumberFormat="1" applyFont="1" applyFill="1" applyBorder="1" applyAlignment="1" applyProtection="1">
      <alignment horizontal="center" vertical="center"/>
      <protection locked="0"/>
    </xf>
    <xf numFmtId="0" fontId="6" fillId="0" borderId="19" xfId="0" applyNumberFormat="1" applyFont="1" applyFill="1" applyBorder="1" applyAlignment="1" applyProtection="1">
      <alignment horizontal="center" vertical="center"/>
      <protection locked="0"/>
    </xf>
    <xf numFmtId="0" fontId="6" fillId="0" borderId="50" xfId="0" applyNumberFormat="1" applyFont="1" applyFill="1" applyBorder="1" applyAlignment="1" applyProtection="1">
      <alignment horizontal="center" vertical="center"/>
      <protection locked="0"/>
    </xf>
    <xf numFmtId="0" fontId="6" fillId="0" borderId="51"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0" xfId="0" applyFont="1" applyFill="1" applyBorder="1" applyAlignment="1">
      <alignment horizontal="right"/>
    </xf>
    <xf numFmtId="0" fontId="13" fillId="0" borderId="0" xfId="0" applyFont="1" applyFill="1" applyAlignment="1">
      <alignment horizontal="right"/>
    </xf>
    <xf numFmtId="14" fontId="13" fillId="0" borderId="0" xfId="0" applyNumberFormat="1" applyFont="1" applyFill="1" applyAlignment="1">
      <alignment horizontal="left"/>
    </xf>
    <xf numFmtId="0" fontId="13" fillId="0" borderId="0" xfId="0" applyFont="1" applyFill="1" applyAlignment="1">
      <alignment horizontal="left"/>
    </xf>
    <xf numFmtId="0" fontId="10" fillId="0" borderId="46" xfId="0" applyFont="1" applyFill="1" applyBorder="1" applyAlignment="1">
      <alignment horizontal="right" vertical="center"/>
    </xf>
    <xf numFmtId="0" fontId="14" fillId="0" borderId="52" xfId="0" applyNumberFormat="1" applyFont="1" applyFill="1" applyBorder="1" applyAlignment="1">
      <alignment horizontal="center" vertical="center"/>
    </xf>
    <xf numFmtId="0" fontId="3" fillId="0" borderId="21" xfId="0" applyFont="1" applyFill="1" applyBorder="1" applyAlignment="1">
      <alignment horizontal="right" vertical="center"/>
    </xf>
    <xf numFmtId="0" fontId="14" fillId="0" borderId="45" xfId="0" applyNumberFormat="1" applyFont="1" applyFill="1" applyBorder="1" applyAlignment="1" applyProtection="1">
      <alignment horizontal="center" vertical="center"/>
      <protection locked="0"/>
    </xf>
    <xf numFmtId="0" fontId="99" fillId="0" borderId="53" xfId="0" applyFont="1" applyFill="1" applyBorder="1" applyAlignment="1">
      <alignment horizontal="right" vertical="center"/>
    </xf>
    <xf numFmtId="0" fontId="14" fillId="0" borderId="54" xfId="0" applyNumberFormat="1" applyFont="1" applyFill="1" applyBorder="1" applyAlignment="1" applyProtection="1">
      <alignment horizontal="center" vertical="center"/>
      <protection locked="0"/>
    </xf>
    <xf numFmtId="0" fontId="99" fillId="0" borderId="36" xfId="0" applyFont="1" applyFill="1" applyBorder="1" applyAlignment="1">
      <alignment horizontal="right" vertical="center"/>
    </xf>
    <xf numFmtId="0" fontId="14" fillId="0" borderId="55" xfId="0" applyNumberFormat="1" applyFont="1" applyFill="1" applyBorder="1" applyAlignment="1" applyProtection="1">
      <alignment horizontal="center" vertical="center"/>
      <protection locked="0"/>
    </xf>
    <xf numFmtId="0" fontId="0" fillId="0" borderId="0" xfId="0" applyFill="1" applyBorder="1" applyAlignment="1">
      <alignment horizontal="center"/>
    </xf>
    <xf numFmtId="0" fontId="99" fillId="0" borderId="56" xfId="0" applyFont="1" applyFill="1" applyBorder="1" applyAlignment="1">
      <alignment horizontal="right" vertical="center"/>
    </xf>
    <xf numFmtId="0" fontId="14" fillId="0" borderId="57" xfId="0" applyNumberFormat="1" applyFont="1" applyFill="1" applyBorder="1" applyAlignment="1">
      <alignment horizontal="center" vertical="center"/>
    </xf>
    <xf numFmtId="0" fontId="3" fillId="0" borderId="58" xfId="0" applyFont="1" applyFill="1" applyBorder="1" applyAlignment="1">
      <alignment horizontal="right" vertical="center"/>
    </xf>
    <xf numFmtId="0" fontId="14" fillId="0" borderId="59" xfId="61" applyNumberFormat="1" applyFont="1" applyFill="1" applyBorder="1" applyAlignment="1">
      <alignment horizontal="center" vertical="center"/>
    </xf>
    <xf numFmtId="0" fontId="27" fillId="0" borderId="0" xfId="0" applyFont="1" applyFill="1" applyBorder="1" applyAlignment="1">
      <alignment horizontal="left" wrapText="1"/>
    </xf>
    <xf numFmtId="0" fontId="27" fillId="0" borderId="0" xfId="0" applyFont="1" applyFill="1" applyBorder="1" applyAlignment="1">
      <alignment horizontal="center" wrapText="1"/>
    </xf>
    <xf numFmtId="0" fontId="13" fillId="0" borderId="0" xfId="0" applyFont="1" applyFill="1" applyBorder="1" applyAlignment="1">
      <alignment/>
    </xf>
    <xf numFmtId="0" fontId="0" fillId="0" borderId="60" xfId="0" applyFill="1" applyBorder="1" applyAlignment="1">
      <alignment/>
    </xf>
    <xf numFmtId="0" fontId="0" fillId="0" borderId="31" xfId="0" applyFill="1" applyBorder="1" applyAlignment="1">
      <alignment horizontal="center"/>
    </xf>
    <xf numFmtId="0" fontId="0" fillId="0" borderId="61" xfId="0" applyFill="1" applyBorder="1" applyAlignment="1">
      <alignment/>
    </xf>
    <xf numFmtId="0" fontId="0" fillId="0" borderId="24" xfId="0" applyFill="1" applyBorder="1" applyAlignment="1">
      <alignment horizontal="center"/>
    </xf>
    <xf numFmtId="0" fontId="48" fillId="39" borderId="0" xfId="0" applyFont="1" applyFill="1" applyBorder="1" applyAlignment="1">
      <alignment vertical="center" wrapText="1"/>
    </xf>
    <xf numFmtId="0" fontId="6" fillId="39" borderId="17" xfId="0" applyFont="1" applyFill="1" applyBorder="1" applyAlignment="1">
      <alignment vertical="center"/>
    </xf>
    <xf numFmtId="0" fontId="6" fillId="0" borderId="33" xfId="0" applyFont="1" applyFill="1" applyBorder="1" applyAlignment="1">
      <alignment/>
    </xf>
    <xf numFmtId="0" fontId="6" fillId="0" borderId="34" xfId="0" applyFont="1" applyFill="1" applyBorder="1" applyAlignment="1">
      <alignment/>
    </xf>
    <xf numFmtId="0" fontId="6" fillId="0" borderId="35" xfId="0" applyFont="1" applyFill="1" applyBorder="1" applyAlignment="1">
      <alignment/>
    </xf>
    <xf numFmtId="0" fontId="6" fillId="0" borderId="16" xfId="0" applyFont="1" applyFill="1" applyBorder="1" applyAlignment="1">
      <alignment/>
    </xf>
    <xf numFmtId="0" fontId="6" fillId="0" borderId="25" xfId="0" applyFont="1" applyFill="1" applyBorder="1" applyAlignment="1">
      <alignment/>
    </xf>
    <xf numFmtId="0" fontId="6" fillId="0" borderId="23" xfId="0" applyNumberFormat="1" applyFont="1" applyFill="1" applyBorder="1" applyAlignment="1">
      <alignment/>
    </xf>
    <xf numFmtId="0" fontId="6" fillId="0" borderId="24" xfId="0" applyFont="1" applyFill="1" applyBorder="1" applyAlignment="1">
      <alignment/>
    </xf>
    <xf numFmtId="0" fontId="6" fillId="0" borderId="28" xfId="0" applyFont="1" applyFill="1" applyBorder="1" applyAlignment="1">
      <alignment/>
    </xf>
    <xf numFmtId="0" fontId="6" fillId="0" borderId="29" xfId="0" applyFont="1" applyFill="1" applyBorder="1" applyAlignment="1">
      <alignment/>
    </xf>
    <xf numFmtId="0" fontId="6" fillId="0" borderId="31" xfId="0" applyFont="1" applyFill="1" applyBorder="1" applyAlignment="1">
      <alignment/>
    </xf>
    <xf numFmtId="0" fontId="6" fillId="0" borderId="33"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25" xfId="0" applyNumberFormat="1" applyFont="1" applyFill="1" applyBorder="1" applyAlignment="1">
      <alignment horizontal="center"/>
    </xf>
    <xf numFmtId="0" fontId="6" fillId="0" borderId="34" xfId="0" applyNumberFormat="1" applyFont="1" applyFill="1" applyBorder="1" applyAlignment="1">
      <alignment/>
    </xf>
    <xf numFmtId="0" fontId="6" fillId="0" borderId="62" xfId="0" applyNumberFormat="1" applyFont="1" applyFill="1" applyBorder="1" applyAlignment="1" applyProtection="1">
      <alignment horizontal="center" vertical="center"/>
      <protection locked="0"/>
    </xf>
    <xf numFmtId="0" fontId="26" fillId="34" borderId="0" xfId="0" applyNumberFormat="1" applyFont="1" applyFill="1" applyBorder="1" applyAlignment="1" applyProtection="1">
      <alignment horizontal="center" vertical="center"/>
      <protection/>
    </xf>
    <xf numFmtId="0" fontId="26" fillId="34" borderId="42" xfId="0" applyNumberFormat="1" applyFont="1" applyFill="1" applyBorder="1" applyAlignment="1" applyProtection="1">
      <alignment horizontal="center" vertical="center"/>
      <protection/>
    </xf>
    <xf numFmtId="0" fontId="26" fillId="34" borderId="44" xfId="0" applyNumberFormat="1" applyFont="1" applyFill="1" applyBorder="1" applyAlignment="1" applyProtection="1">
      <alignment horizontal="center" vertical="center"/>
      <protection/>
    </xf>
    <xf numFmtId="0" fontId="26" fillId="34" borderId="63" xfId="0" applyNumberFormat="1" applyFont="1" applyFill="1" applyBorder="1" applyAlignment="1" applyProtection="1">
      <alignment horizontal="center" vertical="center"/>
      <protection/>
    </xf>
    <xf numFmtId="11" fontId="0" fillId="0" borderId="64" xfId="0" applyNumberFormat="1" applyFill="1" applyBorder="1" applyAlignment="1">
      <alignment horizontal="center"/>
    </xf>
    <xf numFmtId="0" fontId="106" fillId="32" borderId="0" xfId="57">
      <alignment/>
      <protection/>
    </xf>
    <xf numFmtId="168" fontId="6" fillId="0" borderId="0" xfId="0" applyNumberFormat="1" applyFont="1" applyFill="1" applyBorder="1" applyAlignment="1" applyProtection="1">
      <alignment/>
      <protection/>
    </xf>
    <xf numFmtId="182" fontId="8" fillId="39" borderId="0" xfId="0" applyNumberFormat="1" applyFont="1" applyFill="1" applyAlignment="1">
      <alignment horizontal="left" vertical="center"/>
    </xf>
    <xf numFmtId="2" fontId="3" fillId="0" borderId="0" xfId="0" applyNumberFormat="1" applyFont="1" applyAlignment="1">
      <alignment horizontal="left"/>
    </xf>
    <xf numFmtId="2" fontId="9" fillId="0" borderId="0" xfId="0" applyNumberFormat="1" applyFont="1" applyAlignment="1">
      <alignment horizontal="left"/>
    </xf>
    <xf numFmtId="2" fontId="90" fillId="0" borderId="0" xfId="0" applyNumberFormat="1" applyFont="1" applyAlignment="1">
      <alignment horizontal="left"/>
    </xf>
    <xf numFmtId="0" fontId="63" fillId="0" borderId="0" xfId="0" applyFont="1" applyFill="1" applyAlignment="1">
      <alignment/>
    </xf>
    <xf numFmtId="0" fontId="26" fillId="0" borderId="65" xfId="0" applyFont="1" applyFill="1" applyBorder="1" applyAlignment="1">
      <alignment/>
    </xf>
    <xf numFmtId="0" fontId="6" fillId="0" borderId="66" xfId="0" applyFont="1" applyFill="1" applyBorder="1" applyAlignment="1">
      <alignment horizontal="center"/>
    </xf>
    <xf numFmtId="0" fontId="26" fillId="0" borderId="42" xfId="0" applyFont="1" applyFill="1" applyBorder="1" applyAlignment="1">
      <alignment/>
    </xf>
    <xf numFmtId="0" fontId="6" fillId="0" borderId="14" xfId="0" applyFont="1" applyFill="1" applyBorder="1" applyAlignment="1">
      <alignment horizontal="center"/>
    </xf>
    <xf numFmtId="0" fontId="26" fillId="0" borderId="67" xfId="0" applyFont="1" applyFill="1" applyBorder="1" applyAlignment="1">
      <alignment/>
    </xf>
    <xf numFmtId="0" fontId="6" fillId="0" borderId="18" xfId="0" applyFont="1" applyFill="1" applyBorder="1" applyAlignment="1">
      <alignment horizontal="center"/>
    </xf>
    <xf numFmtId="164" fontId="26" fillId="34" borderId="42" xfId="0" applyNumberFormat="1" applyFont="1" applyFill="1" applyBorder="1" applyAlignment="1" applyProtection="1">
      <alignment horizontal="center" vertical="center"/>
      <protection/>
    </xf>
    <xf numFmtId="0" fontId="95" fillId="34" borderId="16" xfId="61" applyNumberFormat="1" applyFont="1" applyFill="1" applyBorder="1" applyAlignment="1">
      <alignment horizontal="center" vertical="center"/>
    </xf>
    <xf numFmtId="175" fontId="6" fillId="34" borderId="0" xfId="61" applyNumberFormat="1" applyFont="1" applyFill="1" applyBorder="1" applyAlignment="1">
      <alignment horizontal="center" vertical="center"/>
    </xf>
    <xf numFmtId="167" fontId="50" fillId="0" borderId="0" xfId="0" applyNumberFormat="1" applyFont="1" applyFill="1" applyBorder="1" applyAlignment="1">
      <alignment horizontal="left" vertical="center"/>
    </xf>
    <xf numFmtId="0" fontId="19" fillId="38" borderId="10" xfId="0" applyNumberFormat="1" applyFont="1" applyFill="1" applyBorder="1" applyAlignment="1" applyProtection="1">
      <alignment horizontal="center"/>
      <protection/>
    </xf>
    <xf numFmtId="0" fontId="19" fillId="38" borderId="42" xfId="0" applyNumberFormat="1" applyFont="1" applyFill="1" applyBorder="1" applyAlignment="1" applyProtection="1">
      <alignment horizontal="center"/>
      <protection/>
    </xf>
    <xf numFmtId="0" fontId="19" fillId="38" borderId="44" xfId="0" applyNumberFormat="1" applyFont="1" applyFill="1" applyBorder="1" applyAlignment="1" applyProtection="1">
      <alignment horizontal="center"/>
      <protection/>
    </xf>
    <xf numFmtId="0" fontId="19" fillId="38" borderId="14" xfId="0" applyNumberFormat="1" applyFont="1" applyFill="1" applyBorder="1" applyAlignment="1" applyProtection="1">
      <alignment horizontal="center"/>
      <protection/>
    </xf>
    <xf numFmtId="0" fontId="19" fillId="38" borderId="0" xfId="0" applyNumberFormat="1" applyFont="1" applyFill="1" applyBorder="1" applyAlignment="1" applyProtection="1">
      <alignment horizontal="center"/>
      <protection/>
    </xf>
    <xf numFmtId="11" fontId="19" fillId="38" borderId="10" xfId="0" applyNumberFormat="1" applyFont="1" applyFill="1" applyBorder="1" applyAlignment="1" applyProtection="1">
      <alignment horizontal="center"/>
      <protection/>
    </xf>
    <xf numFmtId="11" fontId="19" fillId="38" borderId="42" xfId="0" applyNumberFormat="1" applyFont="1" applyFill="1" applyBorder="1" applyAlignment="1" applyProtection="1">
      <alignment horizontal="center"/>
      <protection/>
    </xf>
    <xf numFmtId="11" fontId="19" fillId="34" borderId="0" xfId="0" applyNumberFormat="1" applyFont="1" applyFill="1" applyBorder="1" applyAlignment="1" applyProtection="1">
      <alignment horizontal="center"/>
      <protection/>
    </xf>
    <xf numFmtId="0" fontId="19" fillId="38" borderId="25" xfId="0" applyNumberFormat="1" applyFont="1" applyFill="1" applyBorder="1" applyAlignment="1" applyProtection="1">
      <alignment horizontal="center"/>
      <protection/>
    </xf>
    <xf numFmtId="0" fontId="19" fillId="38" borderId="68" xfId="0" applyNumberFormat="1" applyFont="1" applyFill="1" applyBorder="1" applyAlignment="1" applyProtection="1">
      <alignment horizontal="center"/>
      <protection/>
    </xf>
    <xf numFmtId="0" fontId="19" fillId="38" borderId="63" xfId="0" applyNumberFormat="1" applyFont="1" applyFill="1" applyBorder="1" applyAlignment="1" applyProtection="1">
      <alignment horizontal="center"/>
      <protection/>
    </xf>
    <xf numFmtId="0" fontId="19" fillId="38" borderId="26" xfId="0" applyNumberFormat="1" applyFont="1" applyFill="1" applyBorder="1" applyAlignment="1" applyProtection="1">
      <alignment horizontal="center"/>
      <protection/>
    </xf>
    <xf numFmtId="0" fontId="19" fillId="38" borderId="23" xfId="0" applyNumberFormat="1" applyFont="1" applyFill="1" applyBorder="1" applyAlignment="1" applyProtection="1">
      <alignment horizontal="center"/>
      <protection/>
    </xf>
    <xf numFmtId="11" fontId="19" fillId="38" borderId="25" xfId="0" applyNumberFormat="1" applyFont="1" applyFill="1" applyBorder="1" applyAlignment="1" applyProtection="1">
      <alignment horizontal="center"/>
      <protection/>
    </xf>
    <xf numFmtId="11" fontId="19" fillId="38" borderId="68" xfId="0" applyNumberFormat="1" applyFont="1" applyFill="1" applyBorder="1" applyAlignment="1" applyProtection="1">
      <alignment horizontal="center"/>
      <protection/>
    </xf>
    <xf numFmtId="11" fontId="19" fillId="34" borderId="23" xfId="0" applyNumberFormat="1" applyFont="1" applyFill="1" applyBorder="1" applyAlignment="1" applyProtection="1">
      <alignment horizontal="center"/>
      <protection/>
    </xf>
    <xf numFmtId="0" fontId="19" fillId="38" borderId="16" xfId="0" applyNumberFormat="1" applyFont="1" applyFill="1" applyBorder="1" applyAlignment="1" applyProtection="1">
      <alignment horizontal="center"/>
      <protection/>
    </xf>
    <xf numFmtId="0" fontId="19" fillId="38" borderId="24" xfId="0" applyNumberFormat="1" applyFont="1" applyFill="1" applyBorder="1" applyAlignment="1" applyProtection="1">
      <alignment horizontal="center"/>
      <protection/>
    </xf>
    <xf numFmtId="0" fontId="20" fillId="38" borderId="25" xfId="0" applyNumberFormat="1" applyFont="1" applyFill="1" applyBorder="1" applyAlignment="1" applyProtection="1">
      <alignment horizontal="center"/>
      <protection/>
    </xf>
    <xf numFmtId="0" fontId="20" fillId="38" borderId="29" xfId="0" applyNumberFormat="1" applyFont="1" applyFill="1" applyBorder="1" applyAlignment="1" applyProtection="1">
      <alignment horizontal="center"/>
      <protection/>
    </xf>
    <xf numFmtId="166" fontId="19" fillId="38" borderId="23" xfId="0" applyNumberFormat="1" applyFont="1" applyFill="1" applyBorder="1" applyAlignment="1" applyProtection="1">
      <alignment horizontal="center"/>
      <protection/>
    </xf>
    <xf numFmtId="11" fontId="19" fillId="38" borderId="28" xfId="0" applyNumberFormat="1" applyFont="1" applyFill="1" applyBorder="1" applyAlignment="1" applyProtection="1">
      <alignment horizontal="center"/>
      <protection/>
    </xf>
    <xf numFmtId="169" fontId="19" fillId="38" borderId="10" xfId="0" applyNumberFormat="1" applyFont="1" applyFill="1" applyBorder="1" applyAlignment="1" applyProtection="1">
      <alignment horizontal="center"/>
      <protection/>
    </xf>
    <xf numFmtId="2" fontId="19" fillId="38" borderId="0" xfId="0" applyNumberFormat="1" applyFont="1" applyFill="1" applyBorder="1" applyAlignment="1" applyProtection="1">
      <alignment horizontal="center"/>
      <protection/>
    </xf>
    <xf numFmtId="169" fontId="19" fillId="38" borderId="42" xfId="0" applyNumberFormat="1" applyFont="1" applyFill="1" applyBorder="1" applyAlignment="1" applyProtection="1">
      <alignment horizontal="center"/>
      <protection/>
    </xf>
    <xf numFmtId="169" fontId="19" fillId="38" borderId="0" xfId="0" applyNumberFormat="1" applyFont="1" applyFill="1" applyBorder="1" applyAlignment="1" applyProtection="1">
      <alignment horizontal="center"/>
      <protection/>
    </xf>
    <xf numFmtId="169" fontId="19" fillId="38" borderId="27" xfId="0" applyNumberFormat="1" applyFont="1" applyFill="1" applyBorder="1" applyAlignment="1" applyProtection="1">
      <alignment horizontal="center"/>
      <protection/>
    </xf>
    <xf numFmtId="169" fontId="19" fillId="34" borderId="0" xfId="0" applyNumberFormat="1" applyFont="1" applyFill="1" applyBorder="1" applyAlignment="1" applyProtection="1">
      <alignment horizontal="center"/>
      <protection/>
    </xf>
    <xf numFmtId="169" fontId="58" fillId="38" borderId="27" xfId="0" applyNumberFormat="1" applyFont="1" applyFill="1" applyBorder="1" applyAlignment="1" applyProtection="1">
      <alignment horizontal="center"/>
      <protection/>
    </xf>
    <xf numFmtId="0" fontId="19" fillId="34" borderId="0" xfId="0" applyNumberFormat="1" applyFont="1" applyFill="1" applyBorder="1" applyAlignment="1" applyProtection="1">
      <alignment horizontal="center"/>
      <protection/>
    </xf>
    <xf numFmtId="2" fontId="19" fillId="38" borderId="26" xfId="0" applyNumberFormat="1" applyFont="1" applyFill="1" applyBorder="1" applyAlignment="1" applyProtection="1">
      <alignment horizontal="center"/>
      <protection/>
    </xf>
    <xf numFmtId="169" fontId="19" fillId="38" borderId="23" xfId="0" applyNumberFormat="1" applyFont="1" applyFill="1" applyBorder="1" applyAlignment="1" applyProtection="1">
      <alignment horizontal="center"/>
      <protection/>
    </xf>
    <xf numFmtId="169" fontId="58" fillId="38" borderId="64" xfId="0" applyNumberFormat="1" applyFont="1" applyFill="1" applyBorder="1" applyAlignment="1" applyProtection="1">
      <alignment horizontal="center"/>
      <protection/>
    </xf>
    <xf numFmtId="0" fontId="19" fillId="34" borderId="23" xfId="0" applyNumberFormat="1" applyFont="1" applyFill="1" applyBorder="1" applyAlignment="1" applyProtection="1">
      <alignment horizontal="center"/>
      <protection/>
    </xf>
    <xf numFmtId="11" fontId="19" fillId="38" borderId="42" xfId="0" applyNumberFormat="1" applyFont="1" applyFill="1" applyBorder="1" applyAlignment="1" applyProtection="1">
      <alignment/>
      <protection/>
    </xf>
    <xf numFmtId="11" fontId="19" fillId="38" borderId="68" xfId="0" applyNumberFormat="1" applyFont="1" applyFill="1" applyBorder="1" applyAlignment="1" applyProtection="1">
      <alignment/>
      <protection/>
    </xf>
    <xf numFmtId="0" fontId="19" fillId="38" borderId="69" xfId="0" applyNumberFormat="1" applyFont="1" applyFill="1" applyBorder="1" applyAlignment="1" applyProtection="1">
      <alignment horizontal="center"/>
      <protection/>
    </xf>
    <xf numFmtId="2" fontId="19" fillId="38" borderId="29" xfId="0" applyNumberFormat="1" applyFont="1" applyFill="1" applyBorder="1" applyAlignment="1" applyProtection="1">
      <alignment horizontal="center"/>
      <protection/>
    </xf>
    <xf numFmtId="11" fontId="19" fillId="38" borderId="70" xfId="0" applyNumberFormat="1" applyFont="1" applyFill="1" applyBorder="1" applyAlignment="1" applyProtection="1">
      <alignment/>
      <protection/>
    </xf>
    <xf numFmtId="169" fontId="19" fillId="38" borderId="29" xfId="0" applyNumberFormat="1" applyFont="1" applyFill="1" applyBorder="1" applyAlignment="1" applyProtection="1">
      <alignment horizontal="center"/>
      <protection/>
    </xf>
    <xf numFmtId="169" fontId="58" fillId="38" borderId="71" xfId="0" applyNumberFormat="1" applyFont="1" applyFill="1" applyBorder="1" applyAlignment="1" applyProtection="1">
      <alignment horizontal="center"/>
      <protection/>
    </xf>
    <xf numFmtId="0" fontId="19" fillId="38" borderId="10" xfId="0" applyFont="1" applyFill="1" applyBorder="1" applyAlignment="1" applyProtection="1">
      <alignment horizontal="center" wrapText="1"/>
      <protection/>
    </xf>
    <xf numFmtId="0" fontId="19" fillId="38" borderId="0" xfId="0" applyFont="1" applyFill="1" applyBorder="1" applyAlignment="1" applyProtection="1">
      <alignment horizontal="center" wrapText="1"/>
      <protection/>
    </xf>
    <xf numFmtId="0" fontId="58" fillId="34" borderId="0" xfId="0" applyFont="1" applyFill="1" applyBorder="1" applyAlignment="1" applyProtection="1">
      <alignment horizontal="center" wrapText="1"/>
      <protection/>
    </xf>
    <xf numFmtId="0" fontId="26" fillId="34" borderId="16" xfId="0" applyNumberFormat="1" applyFont="1" applyFill="1" applyBorder="1" applyAlignment="1" applyProtection="1">
      <alignment horizontal="center" vertical="center"/>
      <protection/>
    </xf>
    <xf numFmtId="0" fontId="26" fillId="34" borderId="23" xfId="0" applyNumberFormat="1" applyFont="1" applyFill="1" applyBorder="1" applyAlignment="1" applyProtection="1">
      <alignment horizontal="center" vertical="center"/>
      <protection/>
    </xf>
    <xf numFmtId="0" fontId="26" fillId="34" borderId="24" xfId="0" applyNumberFormat="1" applyFont="1" applyFill="1" applyBorder="1" applyAlignment="1" applyProtection="1">
      <alignment horizontal="center" vertical="center"/>
      <protection/>
    </xf>
    <xf numFmtId="0" fontId="6" fillId="39" borderId="0" xfId="0" applyFont="1" applyFill="1" applyBorder="1" applyAlignment="1">
      <alignment horizontal="left" vertical="center"/>
    </xf>
    <xf numFmtId="0" fontId="6" fillId="39" borderId="0" xfId="0" applyFont="1" applyFill="1" applyBorder="1" applyAlignment="1">
      <alignment horizontal="center" vertical="center"/>
    </xf>
    <xf numFmtId="0" fontId="114" fillId="34" borderId="0" xfId="0" applyFont="1" applyFill="1" applyBorder="1" applyAlignment="1">
      <alignment vertical="center"/>
    </xf>
    <xf numFmtId="0" fontId="115" fillId="34" borderId="0" xfId="0" applyFont="1" applyFill="1" applyBorder="1" applyAlignment="1">
      <alignment horizontal="center" vertical="center"/>
    </xf>
    <xf numFmtId="0" fontId="0" fillId="0" borderId="0" xfId="0" applyFill="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Alignment="1" applyProtection="1">
      <alignment/>
      <protection/>
    </xf>
    <xf numFmtId="0" fontId="0" fillId="0" borderId="0" xfId="0" applyFill="1" applyAlignment="1" applyProtection="1">
      <alignment horizontal="center" vertical="center"/>
      <protection/>
    </xf>
    <xf numFmtId="0" fontId="0" fillId="0" borderId="0" xfId="0" applyFill="1" applyAlignment="1">
      <alignment horizontal="center" vertical="center"/>
    </xf>
    <xf numFmtId="0" fontId="0" fillId="0" borderId="10" xfId="0" applyFill="1" applyBorder="1" applyAlignment="1" applyProtection="1">
      <alignment horizontal="center"/>
      <protection/>
    </xf>
    <xf numFmtId="0" fontId="0" fillId="0" borderId="28"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31" xfId="0" applyFill="1" applyBorder="1" applyAlignment="1" applyProtection="1">
      <alignment horizontal="center"/>
      <protection/>
    </xf>
    <xf numFmtId="0" fontId="6" fillId="0" borderId="0" xfId="0" applyFont="1" applyFill="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0" fontId="79" fillId="0" borderId="0" xfId="0" applyFont="1" applyFill="1" applyAlignment="1" applyProtection="1">
      <alignment horizontal="center" wrapText="1"/>
      <protection/>
    </xf>
    <xf numFmtId="0" fontId="79" fillId="0" borderId="16" xfId="0" applyFont="1" applyFill="1" applyBorder="1" applyAlignment="1" applyProtection="1">
      <alignment horizontal="center" wrapText="1"/>
      <protection/>
    </xf>
    <xf numFmtId="0" fontId="79" fillId="0" borderId="10" xfId="0" applyFont="1" applyFill="1" applyBorder="1" applyAlignment="1" applyProtection="1">
      <alignment horizontal="center" wrapText="1"/>
      <protection/>
    </xf>
    <xf numFmtId="0" fontId="79"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79" fillId="0" borderId="0" xfId="0" applyFont="1" applyFill="1" applyAlignment="1">
      <alignment horizontal="center" wrapText="1"/>
    </xf>
    <xf numFmtId="0" fontId="6" fillId="0" borderId="12" xfId="0" applyFont="1" applyFill="1" applyBorder="1" applyAlignment="1" applyProtection="1">
      <alignment horizontal="center" wrapText="1"/>
      <protection/>
    </xf>
    <xf numFmtId="0" fontId="6" fillId="0" borderId="15" xfId="0" applyFont="1" applyFill="1" applyBorder="1" applyAlignment="1" applyProtection="1">
      <alignment horizontal="center" wrapText="1"/>
      <protection/>
    </xf>
    <xf numFmtId="0" fontId="6" fillId="0" borderId="11" xfId="0" applyFont="1" applyFill="1" applyBorder="1" applyAlignment="1" applyProtection="1">
      <alignment horizontal="center" wrapText="1"/>
      <protection/>
    </xf>
    <xf numFmtId="0" fontId="73" fillId="0" borderId="12" xfId="0" applyFont="1" applyFill="1" applyBorder="1" applyAlignment="1" applyProtection="1">
      <alignment horizontal="center" wrapText="1"/>
      <protection/>
    </xf>
    <xf numFmtId="0" fontId="6" fillId="0" borderId="0" xfId="0" applyFont="1" applyFill="1" applyAlignment="1" applyProtection="1">
      <alignment horizontal="center" wrapText="1"/>
      <protection/>
    </xf>
    <xf numFmtId="0" fontId="6" fillId="0" borderId="0" xfId="0" applyFont="1" applyFill="1" applyAlignment="1">
      <alignment horizontal="center" wrapText="1"/>
    </xf>
    <xf numFmtId="0" fontId="6" fillId="0" borderId="10" xfId="0" applyFont="1" applyFill="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6" fillId="0" borderId="16" xfId="0" applyFont="1" applyFill="1" applyBorder="1" applyAlignment="1" applyProtection="1">
      <alignment horizontal="center" wrapText="1"/>
      <protection/>
    </xf>
    <xf numFmtId="0" fontId="6"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6" fillId="0" borderId="16" xfId="0" applyFont="1" applyFill="1" applyBorder="1" applyAlignment="1" applyProtection="1">
      <alignment horizontal="center"/>
      <protection/>
    </xf>
    <xf numFmtId="0" fontId="6" fillId="0" borderId="0" xfId="0" applyFont="1" applyFill="1" applyAlignment="1">
      <alignment horizontal="center"/>
    </xf>
    <xf numFmtId="0" fontId="6" fillId="0" borderId="17" xfId="0" applyFont="1" applyFill="1" applyBorder="1" applyAlignment="1" applyProtection="1">
      <alignment horizontal="center"/>
      <protection/>
    </xf>
    <xf numFmtId="0" fontId="6" fillId="0" borderId="23" xfId="0" applyFont="1" applyFill="1" applyBorder="1" applyAlignment="1" applyProtection="1">
      <alignment horizontal="center"/>
      <protection/>
    </xf>
    <xf numFmtId="0" fontId="6" fillId="0" borderId="25" xfId="0" applyFont="1" applyFill="1" applyBorder="1" applyAlignment="1" applyProtection="1">
      <alignment horizontal="center"/>
      <protection/>
    </xf>
    <xf numFmtId="0" fontId="6" fillId="0" borderId="24" xfId="0" applyFont="1" applyFill="1" applyBorder="1" applyAlignment="1" applyProtection="1">
      <alignment horizontal="center"/>
      <protection/>
    </xf>
    <xf numFmtId="169" fontId="55" fillId="0" borderId="10" xfId="0" applyNumberFormat="1" applyFont="1" applyFill="1" applyBorder="1" applyAlignment="1" applyProtection="1">
      <alignment horizontal="center"/>
      <protection/>
    </xf>
    <xf numFmtId="11" fontId="55" fillId="0" borderId="0" xfId="0" applyNumberFormat="1" applyFont="1" applyFill="1" applyBorder="1" applyAlignment="1" applyProtection="1">
      <alignment horizontal="center"/>
      <protection/>
    </xf>
    <xf numFmtId="2" fontId="55" fillId="0" borderId="0" xfId="0" applyNumberFormat="1" applyFont="1" applyFill="1" applyBorder="1" applyAlignment="1" applyProtection="1">
      <alignment horizontal="center"/>
      <protection/>
    </xf>
    <xf numFmtId="0" fontId="55" fillId="0" borderId="0" xfId="0" applyNumberFormat="1" applyFont="1" applyFill="1" applyBorder="1" applyAlignment="1" applyProtection="1">
      <alignment horizontal="center"/>
      <protection/>
    </xf>
    <xf numFmtId="3" fontId="55" fillId="0" borderId="16" xfId="0" applyNumberFormat="1" applyFont="1" applyFill="1" applyBorder="1" applyAlignment="1" applyProtection="1">
      <alignment horizontal="center"/>
      <protection/>
    </xf>
    <xf numFmtId="169" fontId="55" fillId="0" borderId="25" xfId="0" applyNumberFormat="1" applyFont="1" applyFill="1" applyBorder="1" applyAlignment="1" applyProtection="1">
      <alignment horizontal="center"/>
      <protection/>
    </xf>
    <xf numFmtId="11" fontId="55" fillId="0" borderId="23" xfId="0" applyNumberFormat="1" applyFont="1" applyFill="1" applyBorder="1" applyAlignment="1" applyProtection="1">
      <alignment horizontal="center"/>
      <protection/>
    </xf>
    <xf numFmtId="2" fontId="55" fillId="0" borderId="23" xfId="0" applyNumberFormat="1" applyFont="1" applyFill="1" applyBorder="1" applyAlignment="1" applyProtection="1">
      <alignment horizontal="center"/>
      <protection/>
    </xf>
    <xf numFmtId="0" fontId="55" fillId="0" borderId="23" xfId="0" applyNumberFormat="1" applyFont="1" applyFill="1" applyBorder="1" applyAlignment="1" applyProtection="1">
      <alignment horizontal="center"/>
      <protection/>
    </xf>
    <xf numFmtId="0" fontId="6" fillId="0" borderId="0" xfId="0" applyFont="1" applyFill="1" applyAlignment="1" applyProtection="1">
      <alignment/>
      <protection/>
    </xf>
    <xf numFmtId="0" fontId="6" fillId="39" borderId="18" xfId="0" applyFont="1" applyFill="1" applyBorder="1" applyAlignment="1">
      <alignment vertical="center"/>
    </xf>
    <xf numFmtId="0" fontId="6" fillId="39" borderId="23" xfId="0" applyFont="1" applyFill="1" applyBorder="1" applyAlignment="1">
      <alignment vertical="center"/>
    </xf>
    <xf numFmtId="0" fontId="6" fillId="39" borderId="26" xfId="0" applyFont="1" applyFill="1" applyBorder="1" applyAlignment="1">
      <alignment vertical="center"/>
    </xf>
    <xf numFmtId="0" fontId="6" fillId="39" borderId="72" xfId="0" applyFont="1" applyFill="1" applyBorder="1" applyAlignment="1">
      <alignment horizontal="center" vertical="center" wrapText="1"/>
    </xf>
    <xf numFmtId="0" fontId="6" fillId="39" borderId="73" xfId="0" applyFont="1" applyFill="1" applyBorder="1" applyAlignment="1">
      <alignment vertical="center"/>
    </xf>
    <xf numFmtId="0" fontId="6" fillId="39" borderId="74" xfId="0" applyFont="1" applyFill="1" applyBorder="1" applyAlignment="1">
      <alignment vertical="center"/>
    </xf>
    <xf numFmtId="0" fontId="6" fillId="39" borderId="75" xfId="0" applyFont="1" applyFill="1" applyBorder="1" applyAlignment="1">
      <alignment vertical="center"/>
    </xf>
    <xf numFmtId="0" fontId="6" fillId="39" borderId="54" xfId="0" applyFont="1" applyFill="1" applyBorder="1" applyAlignment="1">
      <alignment vertical="center"/>
    </xf>
    <xf numFmtId="0" fontId="6" fillId="39" borderId="0" xfId="0" applyFont="1" applyFill="1" applyBorder="1" applyAlignment="1">
      <alignment vertical="center"/>
    </xf>
    <xf numFmtId="0" fontId="6" fillId="0" borderId="65" xfId="0" applyFont="1" applyFill="1" applyBorder="1" applyAlignment="1">
      <alignment/>
    </xf>
    <xf numFmtId="0" fontId="6" fillId="0" borderId="76" xfId="0" applyFont="1" applyFill="1" applyBorder="1" applyAlignment="1">
      <alignment/>
    </xf>
    <xf numFmtId="0" fontId="6" fillId="0" borderId="42" xfId="0" applyFont="1" applyFill="1" applyBorder="1" applyAlignment="1">
      <alignment/>
    </xf>
    <xf numFmtId="0" fontId="6" fillId="0" borderId="42" xfId="0" applyFont="1" applyFill="1" applyBorder="1" applyAlignment="1">
      <alignment horizontal="center"/>
    </xf>
    <xf numFmtId="0" fontId="6" fillId="0" borderId="75" xfId="0" applyFont="1" applyFill="1" applyBorder="1" applyAlignment="1">
      <alignment/>
    </xf>
    <xf numFmtId="0" fontId="6" fillId="0" borderId="36" xfId="0" applyFont="1" applyFill="1" applyBorder="1" applyAlignment="1">
      <alignment/>
    </xf>
    <xf numFmtId="0" fontId="6" fillId="0" borderId="20" xfId="0" applyFont="1" applyFill="1" applyBorder="1" applyAlignment="1">
      <alignment horizontal="center"/>
    </xf>
    <xf numFmtId="0" fontId="6" fillId="0" borderId="20" xfId="0" applyFont="1" applyFill="1" applyBorder="1" applyAlignment="1">
      <alignment/>
    </xf>
    <xf numFmtId="166" fontId="6" fillId="0" borderId="20" xfId="0" applyNumberFormat="1" applyFont="1" applyFill="1" applyBorder="1" applyAlignment="1">
      <alignment horizontal="center"/>
    </xf>
    <xf numFmtId="0" fontId="6" fillId="0" borderId="73" xfId="0" applyFont="1" applyFill="1" applyBorder="1" applyAlignment="1">
      <alignment vertical="center"/>
    </xf>
    <xf numFmtId="0" fontId="6" fillId="0" borderId="74"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75" xfId="0" applyFont="1" applyFill="1" applyBorder="1" applyAlignment="1">
      <alignment vertical="center"/>
    </xf>
    <xf numFmtId="0" fontId="6" fillId="0" borderId="54" xfId="0" applyFont="1" applyFill="1" applyBorder="1" applyAlignment="1">
      <alignment vertical="center"/>
    </xf>
    <xf numFmtId="0" fontId="6" fillId="0" borderId="23" xfId="0" applyFont="1" applyFill="1" applyBorder="1" applyAlignment="1">
      <alignment vertical="center"/>
    </xf>
    <xf numFmtId="0" fontId="6" fillId="0" borderId="26" xfId="0" applyFont="1" applyFill="1" applyBorder="1" applyAlignment="1">
      <alignment vertical="center"/>
    </xf>
    <xf numFmtId="0" fontId="19" fillId="38" borderId="0" xfId="0" applyFont="1" applyFill="1" applyBorder="1" applyAlignment="1" applyProtection="1">
      <alignment horizontal="center" vertical="center" wrapText="1"/>
      <protection/>
    </xf>
    <xf numFmtId="0" fontId="19" fillId="38" borderId="14" xfId="0" applyFont="1" applyFill="1" applyBorder="1" applyAlignment="1" applyProtection="1">
      <alignment horizontal="center" vertical="center" wrapText="1"/>
      <protection/>
    </xf>
    <xf numFmtId="0" fontId="19" fillId="38" borderId="18" xfId="0" applyFont="1" applyFill="1" applyBorder="1" applyAlignment="1" applyProtection="1">
      <alignment horizontal="center" vertical="center" wrapText="1"/>
      <protection/>
    </xf>
    <xf numFmtId="0" fontId="19" fillId="34" borderId="11" xfId="0" applyFont="1" applyFill="1" applyBorder="1" applyAlignment="1" applyProtection="1">
      <alignment horizontal="center" vertical="center"/>
      <protection/>
    </xf>
    <xf numFmtId="0" fontId="19" fillId="34" borderId="40" xfId="0" applyFont="1" applyFill="1" applyBorder="1" applyAlignment="1" applyProtection="1">
      <alignment horizontal="center" vertical="center"/>
      <protection/>
    </xf>
    <xf numFmtId="0" fontId="19" fillId="34" borderId="43" xfId="0" applyFont="1" applyFill="1" applyBorder="1" applyAlignment="1" applyProtection="1">
      <alignment horizontal="center" vertical="center"/>
      <protection/>
    </xf>
    <xf numFmtId="0" fontId="19" fillId="34" borderId="15" xfId="0" applyFont="1" applyFill="1" applyBorder="1" applyAlignment="1" applyProtection="1">
      <alignment horizontal="center" vertical="center"/>
      <protection/>
    </xf>
    <xf numFmtId="11" fontId="6" fillId="34" borderId="10" xfId="0" applyNumberFormat="1" applyFont="1" applyFill="1" applyBorder="1" applyAlignment="1" applyProtection="1">
      <alignment horizontal="center"/>
      <protection/>
    </xf>
    <xf numFmtId="11" fontId="6" fillId="34" borderId="44" xfId="0" applyNumberFormat="1" applyFont="1" applyFill="1" applyBorder="1" applyAlignment="1" applyProtection="1">
      <alignment horizontal="center"/>
      <protection/>
    </xf>
    <xf numFmtId="0" fontId="6" fillId="34" borderId="16" xfId="0" applyFont="1" applyFill="1" applyBorder="1" applyAlignment="1" applyProtection="1">
      <alignment horizontal="center"/>
      <protection/>
    </xf>
    <xf numFmtId="11" fontId="19" fillId="34" borderId="10" xfId="0" applyNumberFormat="1" applyFont="1" applyFill="1" applyBorder="1" applyAlignment="1" applyProtection="1">
      <alignment horizontal="center"/>
      <protection/>
    </xf>
    <xf numFmtId="11" fontId="19" fillId="34" borderId="44" xfId="0" applyNumberFormat="1" applyFont="1" applyFill="1" applyBorder="1" applyAlignment="1" applyProtection="1">
      <alignment horizontal="center"/>
      <protection/>
    </xf>
    <xf numFmtId="0" fontId="19" fillId="34" borderId="16" xfId="0" applyNumberFormat="1" applyFont="1" applyFill="1" applyBorder="1" applyAlignment="1" applyProtection="1">
      <alignment horizontal="center"/>
      <protection/>
    </xf>
    <xf numFmtId="169" fontId="58" fillId="34" borderId="16" xfId="0" applyNumberFormat="1" applyFont="1" applyFill="1" applyBorder="1" applyAlignment="1" applyProtection="1">
      <alignment horizontal="center"/>
      <protection/>
    </xf>
    <xf numFmtId="11" fontId="19" fillId="34" borderId="77" xfId="0" applyNumberFormat="1" applyFont="1" applyFill="1" applyBorder="1" applyAlignment="1" applyProtection="1">
      <alignment horizontal="center"/>
      <protection/>
    </xf>
    <xf numFmtId="11" fontId="19" fillId="34" borderId="63" xfId="0" applyNumberFormat="1" applyFont="1" applyFill="1" applyBorder="1" applyAlignment="1" applyProtection="1">
      <alignment horizontal="center"/>
      <protection/>
    </xf>
    <xf numFmtId="169" fontId="58" fillId="34" borderId="24" xfId="0" applyNumberFormat="1" applyFont="1" applyFill="1" applyBorder="1" applyAlignment="1" applyProtection="1">
      <alignment horizontal="center"/>
      <protection/>
    </xf>
    <xf numFmtId="11" fontId="19" fillId="34" borderId="28" xfId="0" applyNumberFormat="1" applyFont="1" applyFill="1" applyBorder="1" applyAlignment="1" applyProtection="1">
      <alignment horizontal="center"/>
      <protection locked="0"/>
    </xf>
    <xf numFmtId="11" fontId="19" fillId="34" borderId="78" xfId="0" applyNumberFormat="1" applyFont="1" applyFill="1" applyBorder="1" applyAlignment="1" applyProtection="1">
      <alignment horizontal="center"/>
      <protection/>
    </xf>
    <xf numFmtId="169" fontId="58" fillId="34" borderId="71" xfId="0" applyNumberFormat="1" applyFont="1" applyFill="1" applyBorder="1" applyAlignment="1" applyProtection="1">
      <alignment horizontal="center"/>
      <protection/>
    </xf>
    <xf numFmtId="0" fontId="27" fillId="0" borderId="11" xfId="0" applyFont="1" applyFill="1" applyBorder="1" applyAlignment="1">
      <alignment/>
    </xf>
    <xf numFmtId="0" fontId="26" fillId="0" borderId="12" xfId="0" applyFont="1" applyFill="1" applyBorder="1" applyAlignment="1">
      <alignment/>
    </xf>
    <xf numFmtId="2" fontId="26" fillId="0" borderId="15" xfId="0" applyNumberFormat="1" applyFont="1" applyFill="1" applyBorder="1" applyAlignment="1">
      <alignment horizontal="center"/>
    </xf>
    <xf numFmtId="0" fontId="19" fillId="0" borderId="79" xfId="0" applyFont="1" applyFill="1" applyBorder="1" applyAlignment="1">
      <alignment/>
    </xf>
    <xf numFmtId="0" fontId="19" fillId="0" borderId="80" xfId="0" applyFont="1" applyFill="1" applyBorder="1" applyAlignment="1" applyProtection="1">
      <alignment horizontal="center"/>
      <protection locked="0"/>
    </xf>
    <xf numFmtId="2" fontId="19" fillId="0" borderId="81" xfId="0" applyNumberFormat="1" applyFont="1" applyFill="1" applyBorder="1" applyAlignment="1">
      <alignment horizontal="center"/>
    </xf>
    <xf numFmtId="0" fontId="26" fillId="0" borderId="82" xfId="0" applyFont="1" applyFill="1" applyBorder="1" applyAlignment="1">
      <alignment/>
    </xf>
    <xf numFmtId="0" fontId="26" fillId="0" borderId="20" xfId="0" applyFont="1" applyFill="1" applyBorder="1" applyAlignment="1" applyProtection="1">
      <alignment horizontal="center"/>
      <protection locked="0"/>
    </xf>
    <xf numFmtId="2" fontId="26" fillId="0" borderId="83" xfId="0" applyNumberFormat="1" applyFont="1" applyFill="1" applyBorder="1" applyAlignment="1">
      <alignment horizontal="center"/>
    </xf>
    <xf numFmtId="0" fontId="26" fillId="0" borderId="82" xfId="0" applyFont="1" applyFill="1" applyBorder="1" applyAlignment="1">
      <alignment wrapText="1"/>
    </xf>
    <xf numFmtId="167" fontId="26" fillId="0" borderId="83" xfId="0" applyNumberFormat="1" applyFont="1" applyFill="1" applyBorder="1" applyAlignment="1" applyProtection="1">
      <alignment horizontal="center"/>
      <protection locked="0"/>
    </xf>
    <xf numFmtId="0" fontId="26" fillId="0" borderId="82" xfId="0" applyFont="1" applyFill="1" applyBorder="1" applyAlignment="1">
      <alignment/>
    </xf>
    <xf numFmtId="165" fontId="26" fillId="0" borderId="83" xfId="0" applyNumberFormat="1" applyFont="1" applyFill="1" applyBorder="1" applyAlignment="1">
      <alignment horizontal="center"/>
    </xf>
    <xf numFmtId="0" fontId="26" fillId="0" borderId="84" xfId="0" applyFont="1" applyFill="1" applyBorder="1" applyAlignment="1">
      <alignment wrapText="1"/>
    </xf>
    <xf numFmtId="0" fontId="26" fillId="0" borderId="50" xfId="0" applyFont="1" applyFill="1" applyBorder="1" applyAlignment="1" applyProtection="1">
      <alignment horizontal="center"/>
      <protection locked="0"/>
    </xf>
    <xf numFmtId="168" fontId="26" fillId="0" borderId="85" xfId="0" applyNumberFormat="1" applyFont="1" applyFill="1" applyBorder="1" applyAlignment="1" applyProtection="1">
      <alignment horizontal="center" vertical="center"/>
      <protection locked="0"/>
    </xf>
    <xf numFmtId="0" fontId="27" fillId="0" borderId="86" xfId="0" applyFont="1" applyFill="1" applyBorder="1" applyAlignment="1">
      <alignment wrapText="1"/>
    </xf>
    <xf numFmtId="0" fontId="26" fillId="0" borderId="87" xfId="0" applyFont="1" applyFill="1" applyBorder="1" applyAlignment="1">
      <alignment horizontal="center"/>
    </xf>
    <xf numFmtId="168" fontId="26" fillId="0" borderId="88" xfId="0" applyNumberFormat="1" applyFont="1" applyFill="1" applyBorder="1" applyAlignment="1" applyProtection="1">
      <alignment horizontal="center" vertical="center"/>
      <protection locked="0"/>
    </xf>
    <xf numFmtId="0" fontId="26" fillId="0" borderId="89" xfId="0" applyFont="1" applyFill="1" applyBorder="1" applyAlignment="1">
      <alignment/>
    </xf>
    <xf numFmtId="0" fontId="26" fillId="0" borderId="90" xfId="0" applyFont="1" applyFill="1" applyBorder="1" applyAlignment="1">
      <alignment horizontal="center"/>
    </xf>
    <xf numFmtId="2" fontId="26" fillId="0" borderId="91" xfId="0" applyNumberFormat="1" applyFont="1" applyFill="1" applyBorder="1" applyAlignment="1">
      <alignment horizontal="center"/>
    </xf>
    <xf numFmtId="0" fontId="27" fillId="0" borderId="48" xfId="0" applyFont="1" applyFill="1" applyBorder="1" applyAlignment="1">
      <alignment/>
    </xf>
    <xf numFmtId="0" fontId="26" fillId="0" borderId="32" xfId="0" applyFont="1" applyFill="1" applyBorder="1" applyAlignment="1">
      <alignment horizontal="center"/>
    </xf>
    <xf numFmtId="168" fontId="26" fillId="0" borderId="92" xfId="0" applyNumberFormat="1" applyFont="1" applyFill="1" applyBorder="1" applyAlignment="1">
      <alignment horizontal="center" vertical="center"/>
    </xf>
    <xf numFmtId="0" fontId="26" fillId="0" borderId="25" xfId="0" applyFont="1" applyFill="1" applyBorder="1" applyAlignment="1">
      <alignment/>
    </xf>
    <xf numFmtId="0" fontId="26" fillId="0" borderId="23" xfId="0" applyFont="1" applyFill="1" applyBorder="1" applyAlignment="1">
      <alignment horizontal="center"/>
    </xf>
    <xf numFmtId="168" fontId="26" fillId="0" borderId="24" xfId="0" applyNumberFormat="1" applyFont="1" applyFill="1" applyBorder="1" applyAlignment="1">
      <alignment horizontal="center" vertical="center"/>
    </xf>
    <xf numFmtId="0" fontId="26" fillId="0" borderId="0" xfId="0" applyFont="1" applyFill="1" applyBorder="1" applyAlignment="1">
      <alignment/>
    </xf>
    <xf numFmtId="0" fontId="8" fillId="38" borderId="0" xfId="0" applyFont="1" applyFill="1" applyBorder="1" applyAlignment="1" applyProtection="1">
      <alignment/>
      <protection/>
    </xf>
    <xf numFmtId="0" fontId="2" fillId="38" borderId="0" xfId="0" applyFont="1" applyFill="1" applyBorder="1" applyAlignment="1" applyProtection="1">
      <alignment/>
      <protection/>
    </xf>
    <xf numFmtId="0" fontId="0" fillId="38" borderId="0" xfId="0" applyFill="1" applyBorder="1" applyAlignment="1" applyProtection="1">
      <alignment/>
      <protection/>
    </xf>
    <xf numFmtId="0" fontId="8" fillId="38" borderId="0" xfId="0" applyFont="1" applyFill="1" applyBorder="1" applyAlignment="1" applyProtection="1">
      <alignment/>
      <protection/>
    </xf>
    <xf numFmtId="0" fontId="8" fillId="34" borderId="0" xfId="0" applyFont="1" applyFill="1" applyBorder="1" applyAlignment="1" applyProtection="1">
      <alignment/>
      <protection/>
    </xf>
    <xf numFmtId="0" fontId="19" fillId="34" borderId="0" xfId="0" applyFont="1" applyFill="1" applyBorder="1" applyAlignment="1" applyProtection="1">
      <alignment horizontal="center" vertical="center" wrapText="1"/>
      <protection/>
    </xf>
    <xf numFmtId="0" fontId="0" fillId="34" borderId="0" xfId="0" applyFill="1" applyBorder="1" applyAlignment="1">
      <alignment horizontal="center"/>
    </xf>
    <xf numFmtId="0" fontId="40" fillId="34" borderId="0" xfId="0" applyFont="1" applyFill="1" applyBorder="1" applyAlignment="1">
      <alignment horizontal="center" vertical="center"/>
    </xf>
    <xf numFmtId="0" fontId="87" fillId="34" borderId="0" xfId="0" applyFont="1" applyFill="1" applyBorder="1" applyAlignment="1">
      <alignment horizontal="center" vertical="center"/>
    </xf>
    <xf numFmtId="0" fontId="6" fillId="34" borderId="0" xfId="0" applyFont="1" applyFill="1" applyBorder="1" applyAlignment="1">
      <alignment horizontal="right" vertical="center"/>
    </xf>
    <xf numFmtId="168" fontId="26" fillId="0" borderId="20" xfId="0" applyNumberFormat="1" applyFont="1" applyFill="1" applyBorder="1" applyAlignment="1" applyProtection="1">
      <alignment horizontal="center" vertical="center"/>
      <protection locked="0"/>
    </xf>
    <xf numFmtId="168" fontId="26" fillId="0" borderId="20" xfId="0" applyNumberFormat="1" applyFont="1" applyFill="1" applyBorder="1" applyAlignment="1">
      <alignment horizontal="center" vertical="center"/>
    </xf>
    <xf numFmtId="0" fontId="19" fillId="38" borderId="17" xfId="0" applyFont="1" applyFill="1" applyBorder="1" applyAlignment="1" applyProtection="1">
      <alignment horizontal="center" vertical="center" wrapText="1"/>
      <protection/>
    </xf>
    <xf numFmtId="168" fontId="40" fillId="38" borderId="16" xfId="0" applyNumberFormat="1" applyFont="1" applyFill="1" applyBorder="1" applyAlignment="1">
      <alignment horizontal="left" vertical="center"/>
    </xf>
    <xf numFmtId="0" fontId="10" fillId="34" borderId="0" xfId="0" applyFont="1" applyFill="1" applyBorder="1" applyAlignment="1">
      <alignment vertical="center"/>
    </xf>
    <xf numFmtId="0" fontId="10" fillId="34" borderId="17" xfId="0" applyFont="1" applyFill="1" applyBorder="1" applyAlignment="1">
      <alignment vertical="center"/>
    </xf>
    <xf numFmtId="0" fontId="6" fillId="34" borderId="17" xfId="0" applyFont="1" applyFill="1" applyBorder="1" applyAlignment="1">
      <alignment vertical="center"/>
    </xf>
    <xf numFmtId="14" fontId="6" fillId="34" borderId="0" xfId="0" applyNumberFormat="1" applyFont="1" applyFill="1" applyBorder="1" applyAlignment="1">
      <alignment horizontal="left" vertical="center"/>
    </xf>
    <xf numFmtId="179" fontId="6" fillId="34" borderId="0" xfId="0" applyNumberFormat="1" applyFont="1" applyFill="1" applyBorder="1" applyAlignment="1">
      <alignment horizontal="left" vertical="center"/>
    </xf>
    <xf numFmtId="0" fontId="6" fillId="34" borderId="17" xfId="0" applyFont="1" applyFill="1" applyBorder="1" applyAlignment="1">
      <alignment horizontal="right" vertical="center"/>
    </xf>
    <xf numFmtId="179" fontId="6" fillId="34" borderId="17" xfId="0" applyNumberFormat="1" applyFont="1" applyFill="1" applyBorder="1" applyAlignment="1">
      <alignment horizontal="left" vertical="center"/>
    </xf>
    <xf numFmtId="0" fontId="49" fillId="34" borderId="17" xfId="0" applyFont="1" applyFill="1" applyBorder="1" applyAlignment="1">
      <alignment vertical="center"/>
    </xf>
    <xf numFmtId="0" fontId="6" fillId="34" borderId="0" xfId="0" applyFont="1" applyFill="1" applyBorder="1" applyAlignment="1" applyProtection="1">
      <alignment horizontal="right" vertical="center"/>
      <protection/>
    </xf>
    <xf numFmtId="0" fontId="49" fillId="34" borderId="0" xfId="0" applyFont="1" applyFill="1" applyBorder="1" applyAlignment="1" applyProtection="1">
      <alignment vertical="center"/>
      <protection/>
    </xf>
    <xf numFmtId="0" fontId="49" fillId="34" borderId="0" xfId="0" applyFont="1" applyFill="1" applyBorder="1" applyAlignment="1">
      <alignment horizontal="right" vertical="center"/>
    </xf>
    <xf numFmtId="0" fontId="6" fillId="34" borderId="23" xfId="0" applyFont="1" applyFill="1" applyBorder="1" applyAlignment="1" applyProtection="1">
      <alignment horizontal="right" vertical="center"/>
      <protection/>
    </xf>
    <xf numFmtId="14" fontId="6" fillId="34" borderId="23" xfId="0" applyNumberFormat="1" applyFont="1" applyFill="1" applyBorder="1" applyAlignment="1" applyProtection="1">
      <alignment horizontal="left" vertical="center"/>
      <protection/>
    </xf>
    <xf numFmtId="0" fontId="49" fillId="34" borderId="32" xfId="0" applyFont="1" applyFill="1" applyBorder="1" applyAlignment="1" applyProtection="1">
      <alignment vertical="center"/>
      <protection/>
    </xf>
    <xf numFmtId="0" fontId="7" fillId="34" borderId="10" xfId="0" applyFont="1" applyFill="1" applyBorder="1" applyAlignment="1" applyProtection="1">
      <alignment vertical="center"/>
      <protection/>
    </xf>
    <xf numFmtId="0" fontId="6" fillId="38" borderId="46" xfId="0" applyFont="1" applyFill="1" applyBorder="1" applyAlignment="1" applyProtection="1">
      <alignment vertical="center"/>
      <protection/>
    </xf>
    <xf numFmtId="0" fontId="8" fillId="38" borderId="21" xfId="0" applyFont="1" applyFill="1" applyBorder="1" applyAlignment="1" applyProtection="1">
      <alignment vertical="center"/>
      <protection/>
    </xf>
    <xf numFmtId="0" fontId="2" fillId="38" borderId="21" xfId="0" applyFont="1" applyFill="1" applyBorder="1" applyAlignment="1" applyProtection="1">
      <alignment vertical="center"/>
      <protection/>
    </xf>
    <xf numFmtId="0" fontId="0" fillId="38" borderId="21" xfId="0" applyFill="1" applyBorder="1" applyAlignment="1" applyProtection="1">
      <alignment vertical="center"/>
      <protection/>
    </xf>
    <xf numFmtId="0" fontId="2" fillId="38" borderId="45" xfId="0" applyFont="1" applyFill="1" applyBorder="1" applyAlignment="1" applyProtection="1">
      <alignment vertical="center"/>
      <protection/>
    </xf>
    <xf numFmtId="0" fontId="8" fillId="34" borderId="17" xfId="0" applyFont="1" applyFill="1" applyBorder="1" applyAlignment="1" applyProtection="1">
      <alignment vertical="center"/>
      <protection/>
    </xf>
    <xf numFmtId="0" fontId="8" fillId="38" borderId="0" xfId="0" applyFont="1" applyFill="1" applyBorder="1" applyAlignment="1" applyProtection="1">
      <alignment vertical="center"/>
      <protection/>
    </xf>
    <xf numFmtId="0" fontId="2" fillId="38" borderId="0" xfId="0" applyFont="1" applyFill="1" applyBorder="1" applyAlignment="1" applyProtection="1">
      <alignment vertical="center"/>
      <protection/>
    </xf>
    <xf numFmtId="0" fontId="0" fillId="38" borderId="0" xfId="0" applyFill="1" applyBorder="1" applyAlignment="1" applyProtection="1">
      <alignment vertical="center"/>
      <protection/>
    </xf>
    <xf numFmtId="0" fontId="8" fillId="34" borderId="0" xfId="0" applyFont="1" applyFill="1" applyBorder="1" applyAlignment="1" applyProtection="1">
      <alignment vertical="center"/>
      <protection/>
    </xf>
    <xf numFmtId="0" fontId="6" fillId="38" borderId="10" xfId="0" applyFont="1" applyFill="1" applyBorder="1" applyAlignment="1">
      <alignment vertical="center"/>
    </xf>
    <xf numFmtId="0" fontId="58" fillId="34" borderId="0" xfId="0" applyFont="1" applyFill="1" applyBorder="1" applyAlignment="1" applyProtection="1">
      <alignment horizontal="center" vertical="center" wrapText="1"/>
      <protection/>
    </xf>
    <xf numFmtId="0" fontId="6" fillId="38" borderId="42" xfId="0" applyFont="1" applyFill="1" applyBorder="1" applyAlignment="1" applyProtection="1">
      <alignment horizontal="center" vertical="center"/>
      <protection/>
    </xf>
    <xf numFmtId="0" fontId="6" fillId="38" borderId="44" xfId="0" applyFont="1" applyFill="1" applyBorder="1" applyAlignment="1" applyProtection="1">
      <alignment horizontal="center" vertical="center"/>
      <protection/>
    </xf>
    <xf numFmtId="0" fontId="6" fillId="38" borderId="14" xfId="0" applyFont="1" applyFill="1" applyBorder="1" applyAlignment="1" applyProtection="1">
      <alignment horizontal="center" vertical="center"/>
      <protection/>
    </xf>
    <xf numFmtId="0" fontId="6" fillId="38" borderId="0" xfId="0" applyFont="1" applyFill="1" applyBorder="1" applyAlignment="1" applyProtection="1">
      <alignment horizontal="center" vertical="center"/>
      <protection/>
    </xf>
    <xf numFmtId="11" fontId="6" fillId="38" borderId="0" xfId="0" applyNumberFormat="1" applyFont="1" applyFill="1" applyBorder="1" applyAlignment="1" applyProtection="1">
      <alignment horizontal="center" vertical="center"/>
      <protection/>
    </xf>
    <xf numFmtId="0" fontId="6" fillId="38" borderId="27"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11" fontId="6" fillId="34" borderId="0" xfId="0" applyNumberFormat="1" applyFont="1" applyFill="1" applyBorder="1" applyAlignment="1" applyProtection="1">
      <alignment horizontal="center" vertical="center"/>
      <protection/>
    </xf>
    <xf numFmtId="11" fontId="6" fillId="34" borderId="10" xfId="0" applyNumberFormat="1" applyFont="1" applyFill="1" applyBorder="1" applyAlignment="1" applyProtection="1">
      <alignment horizontal="center" vertical="center"/>
      <protection/>
    </xf>
    <xf numFmtId="11" fontId="6" fillId="34" borderId="42" xfId="0" applyNumberFormat="1" applyFont="1" applyFill="1" applyBorder="1" applyAlignment="1" applyProtection="1">
      <alignment horizontal="center" vertical="center"/>
      <protection/>
    </xf>
    <xf numFmtId="11" fontId="6" fillId="34" borderId="44"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19" fillId="38" borderId="42" xfId="0" applyNumberFormat="1" applyFont="1" applyFill="1" applyBorder="1" applyAlignment="1" applyProtection="1">
      <alignment horizontal="center" vertical="center"/>
      <protection/>
    </xf>
    <xf numFmtId="0" fontId="19" fillId="38" borderId="44" xfId="0" applyNumberFormat="1" applyFont="1" applyFill="1" applyBorder="1" applyAlignment="1" applyProtection="1">
      <alignment horizontal="center" vertical="center"/>
      <protection/>
    </xf>
    <xf numFmtId="0" fontId="19" fillId="38" borderId="14" xfId="0" applyNumberFormat="1" applyFont="1" applyFill="1" applyBorder="1" applyAlignment="1" applyProtection="1">
      <alignment horizontal="center" vertical="center"/>
      <protection/>
    </xf>
    <xf numFmtId="0" fontId="19" fillId="38" borderId="0" xfId="0" applyNumberFormat="1" applyFont="1" applyFill="1" applyBorder="1" applyAlignment="1" applyProtection="1">
      <alignment horizontal="center" vertical="center"/>
      <protection/>
    </xf>
    <xf numFmtId="11" fontId="19" fillId="38" borderId="0" xfId="0" applyNumberFormat="1" applyFont="1" applyFill="1" applyBorder="1" applyAlignment="1" applyProtection="1">
      <alignment horizontal="center" vertical="center"/>
      <protection/>
    </xf>
    <xf numFmtId="11" fontId="19" fillId="38" borderId="42" xfId="0" applyNumberFormat="1" applyFont="1" applyFill="1" applyBorder="1" applyAlignment="1" applyProtection="1">
      <alignment horizontal="center" vertical="center"/>
      <protection/>
    </xf>
    <xf numFmtId="11" fontId="19" fillId="38" borderId="27" xfId="0" applyNumberFormat="1" applyFont="1" applyFill="1" applyBorder="1" applyAlignment="1" applyProtection="1">
      <alignment horizontal="center" vertical="center"/>
      <protection/>
    </xf>
    <xf numFmtId="11" fontId="19" fillId="34" borderId="0" xfId="0" applyNumberFormat="1" applyFont="1" applyFill="1" applyBorder="1" applyAlignment="1" applyProtection="1">
      <alignment horizontal="center" vertical="center"/>
      <protection/>
    </xf>
    <xf numFmtId="11" fontId="19" fillId="34" borderId="10" xfId="0" applyNumberFormat="1" applyFont="1" applyFill="1" applyBorder="1" applyAlignment="1" applyProtection="1">
      <alignment horizontal="center" vertical="center"/>
      <protection/>
    </xf>
    <xf numFmtId="11" fontId="19" fillId="34" borderId="42" xfId="0" applyNumberFormat="1" applyFont="1" applyFill="1" applyBorder="1" applyAlignment="1" applyProtection="1">
      <alignment horizontal="center" vertical="center"/>
      <protection/>
    </xf>
    <xf numFmtId="11" fontId="19" fillId="34" borderId="44" xfId="0" applyNumberFormat="1" applyFont="1" applyFill="1" applyBorder="1" applyAlignment="1" applyProtection="1">
      <alignment horizontal="center" vertical="center"/>
      <protection/>
    </xf>
    <xf numFmtId="0" fontId="19" fillId="34" borderId="16" xfId="0" applyNumberFormat="1" applyFont="1" applyFill="1" applyBorder="1" applyAlignment="1" applyProtection="1">
      <alignment horizontal="center" vertical="center"/>
      <protection/>
    </xf>
    <xf numFmtId="0" fontId="6" fillId="34" borderId="0" xfId="0" applyNumberFormat="1" applyFont="1" applyFill="1" applyBorder="1" applyAlignment="1">
      <alignment horizontal="center" vertical="center"/>
    </xf>
    <xf numFmtId="166" fontId="6" fillId="34" borderId="0" xfId="0" applyNumberFormat="1" applyFont="1" applyFill="1" applyBorder="1" applyAlignment="1">
      <alignment horizontal="center" vertical="center"/>
    </xf>
    <xf numFmtId="0" fontId="42" fillId="34" borderId="10" xfId="0" applyFont="1" applyFill="1" applyBorder="1" applyAlignment="1">
      <alignment horizontal="center" vertical="center"/>
    </xf>
    <xf numFmtId="0" fontId="42" fillId="34" borderId="0" xfId="0" applyFont="1" applyFill="1" applyBorder="1" applyAlignment="1">
      <alignment horizontal="center" vertical="center"/>
    </xf>
    <xf numFmtId="0" fontId="42" fillId="34" borderId="16" xfId="0" applyFont="1" applyFill="1" applyBorder="1" applyAlignment="1">
      <alignment horizontal="center" vertical="center"/>
    </xf>
    <xf numFmtId="0" fontId="6" fillId="34" borderId="10" xfId="0" applyFont="1" applyFill="1" applyBorder="1" applyAlignment="1">
      <alignment vertical="center"/>
    </xf>
    <xf numFmtId="11" fontId="58" fillId="38" borderId="27" xfId="0" applyNumberFormat="1" applyFont="1" applyFill="1" applyBorder="1" applyAlignment="1" applyProtection="1">
      <alignment horizontal="center" vertical="center"/>
      <protection/>
    </xf>
    <xf numFmtId="169" fontId="58" fillId="34" borderId="16" xfId="0" applyNumberFormat="1" applyFont="1" applyFill="1" applyBorder="1" applyAlignment="1" applyProtection="1">
      <alignment horizontal="center" vertical="center"/>
      <protection/>
    </xf>
    <xf numFmtId="0" fontId="40" fillId="34" borderId="16" xfId="0" applyFont="1" applyFill="1" applyBorder="1" applyAlignment="1">
      <alignment horizontal="center" vertical="center"/>
    </xf>
    <xf numFmtId="0" fontId="19" fillId="38" borderId="68" xfId="0" applyNumberFormat="1" applyFont="1" applyFill="1" applyBorder="1" applyAlignment="1" applyProtection="1">
      <alignment horizontal="center" vertical="center"/>
      <protection/>
    </xf>
    <xf numFmtId="0" fontId="19" fillId="38" borderId="63" xfId="0" applyNumberFormat="1" applyFont="1" applyFill="1" applyBorder="1" applyAlignment="1" applyProtection="1">
      <alignment horizontal="center" vertical="center"/>
      <protection/>
    </xf>
    <xf numFmtId="0" fontId="19" fillId="38" borderId="26" xfId="0" applyNumberFormat="1" applyFont="1" applyFill="1" applyBorder="1" applyAlignment="1" applyProtection="1">
      <alignment horizontal="center" vertical="center"/>
      <protection/>
    </xf>
    <xf numFmtId="0" fontId="19" fillId="38" borderId="23" xfId="0" applyNumberFormat="1" applyFont="1" applyFill="1" applyBorder="1" applyAlignment="1" applyProtection="1">
      <alignment horizontal="center" vertical="center"/>
      <protection/>
    </xf>
    <xf numFmtId="11" fontId="19" fillId="38" borderId="26" xfId="0" applyNumberFormat="1" applyFont="1" applyFill="1" applyBorder="1" applyAlignment="1" applyProtection="1">
      <alignment horizontal="center" vertical="center"/>
      <protection/>
    </xf>
    <xf numFmtId="11" fontId="19" fillId="38" borderId="68" xfId="0" applyNumberFormat="1" applyFont="1" applyFill="1" applyBorder="1" applyAlignment="1" applyProtection="1">
      <alignment horizontal="center" vertical="center"/>
      <protection/>
    </xf>
    <xf numFmtId="11" fontId="19" fillId="38" borderId="23" xfId="0" applyNumberFormat="1" applyFont="1" applyFill="1" applyBorder="1" applyAlignment="1" applyProtection="1">
      <alignment horizontal="center" vertical="center"/>
      <protection/>
    </xf>
    <xf numFmtId="11" fontId="58" fillId="38" borderId="64" xfId="0" applyNumberFormat="1" applyFont="1" applyFill="1" applyBorder="1" applyAlignment="1" applyProtection="1">
      <alignment horizontal="center" vertical="center"/>
      <protection/>
    </xf>
    <xf numFmtId="11" fontId="19" fillId="34" borderId="23" xfId="0" applyNumberFormat="1" applyFont="1" applyFill="1" applyBorder="1" applyAlignment="1" applyProtection="1">
      <alignment horizontal="center" vertical="center"/>
      <protection/>
    </xf>
    <xf numFmtId="11" fontId="19" fillId="34" borderId="77" xfId="0" applyNumberFormat="1" applyFont="1" applyFill="1" applyBorder="1" applyAlignment="1" applyProtection="1">
      <alignment horizontal="center" vertical="center"/>
      <protection/>
    </xf>
    <xf numFmtId="11" fontId="19" fillId="34" borderId="68" xfId="0" applyNumberFormat="1" applyFont="1" applyFill="1" applyBorder="1" applyAlignment="1" applyProtection="1">
      <alignment horizontal="center" vertical="center"/>
      <protection/>
    </xf>
    <xf numFmtId="11" fontId="19" fillId="34" borderId="63" xfId="0" applyNumberFormat="1" applyFont="1" applyFill="1" applyBorder="1" applyAlignment="1" applyProtection="1">
      <alignment horizontal="center" vertical="center"/>
      <protection/>
    </xf>
    <xf numFmtId="169" fontId="58" fillId="34" borderId="24" xfId="0" applyNumberFormat="1" applyFont="1" applyFill="1" applyBorder="1" applyAlignment="1" applyProtection="1">
      <alignment horizontal="center" vertical="center"/>
      <protection/>
    </xf>
    <xf numFmtId="11" fontId="19" fillId="34" borderId="69" xfId="0" applyNumberFormat="1" applyFont="1" applyFill="1" applyBorder="1" applyAlignment="1" applyProtection="1">
      <alignment horizontal="center" vertical="center"/>
      <protection/>
    </xf>
    <xf numFmtId="0" fontId="6" fillId="34" borderId="16" xfId="0" applyFont="1" applyFill="1" applyBorder="1" applyAlignment="1">
      <alignment vertical="center"/>
    </xf>
    <xf numFmtId="0" fontId="86" fillId="34" borderId="10" xfId="0" applyFont="1" applyFill="1" applyBorder="1" applyAlignment="1">
      <alignment horizontal="center" vertical="center"/>
    </xf>
    <xf numFmtId="0" fontId="87" fillId="34" borderId="16" xfId="0" applyFont="1" applyFill="1" applyBorder="1" applyAlignment="1">
      <alignment horizontal="center" vertical="center"/>
    </xf>
    <xf numFmtId="0" fontId="64" fillId="34" borderId="10" xfId="0" applyFont="1" applyFill="1" applyBorder="1" applyAlignment="1">
      <alignment horizontal="center" vertical="center"/>
    </xf>
    <xf numFmtId="0" fontId="65" fillId="34" borderId="0" xfId="0" applyFont="1" applyFill="1" applyBorder="1" applyAlignment="1">
      <alignment horizontal="center" vertical="center"/>
    </xf>
    <xf numFmtId="0" fontId="65" fillId="34" borderId="16" xfId="0" applyFont="1" applyFill="1" applyBorder="1" applyAlignment="1">
      <alignment horizontal="center" vertical="center"/>
    </xf>
    <xf numFmtId="0" fontId="26" fillId="34" borderId="0" xfId="0" applyFont="1" applyFill="1" applyBorder="1" applyAlignment="1">
      <alignment vertical="center"/>
    </xf>
    <xf numFmtId="0" fontId="26" fillId="0" borderId="0" xfId="0" applyFont="1" applyFill="1" applyBorder="1" applyAlignment="1">
      <alignment vertical="center"/>
    </xf>
    <xf numFmtId="0" fontId="8" fillId="34" borderId="25" xfId="0" applyFont="1" applyFill="1" applyBorder="1" applyAlignment="1" applyProtection="1">
      <alignment horizontal="center" vertical="center"/>
      <protection/>
    </xf>
    <xf numFmtId="11" fontId="19" fillId="34" borderId="25" xfId="0" applyNumberFormat="1" applyFont="1" applyFill="1" applyBorder="1" applyAlignment="1" applyProtection="1">
      <alignment horizontal="center" vertical="center"/>
      <protection locked="0"/>
    </xf>
    <xf numFmtId="169" fontId="58" fillId="34" borderId="64" xfId="0" applyNumberFormat="1" applyFont="1" applyFill="1" applyBorder="1" applyAlignment="1" applyProtection="1">
      <alignment horizontal="center" vertical="center"/>
      <protection/>
    </xf>
    <xf numFmtId="0" fontId="47" fillId="0" borderId="0" xfId="0" applyFont="1" applyFill="1" applyBorder="1" applyAlignment="1">
      <alignment horizontal="lef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xf>
    <xf numFmtId="4" fontId="57" fillId="0" borderId="0" xfId="0" applyNumberFormat="1" applyFont="1" applyFill="1" applyBorder="1" applyAlignment="1">
      <alignment horizontal="left" vertical="center"/>
    </xf>
    <xf numFmtId="0" fontId="57" fillId="0" borderId="0" xfId="0" applyNumberFormat="1" applyFont="1" applyFill="1" applyBorder="1" applyAlignment="1">
      <alignment horizontal="left" vertical="center"/>
    </xf>
    <xf numFmtId="11" fontId="57" fillId="0" borderId="0" xfId="0" applyNumberFormat="1" applyFont="1" applyFill="1" applyBorder="1" applyAlignment="1">
      <alignment horizontal="left" vertical="center"/>
    </xf>
    <xf numFmtId="0" fontId="55" fillId="0" borderId="0" xfId="0" applyNumberFormat="1" applyFont="1" applyFill="1" applyBorder="1" applyAlignment="1">
      <alignment horizontal="center" vertical="center"/>
    </xf>
    <xf numFmtId="0" fontId="55" fillId="0" borderId="0" xfId="0" applyNumberFormat="1" applyFont="1" applyFill="1" applyBorder="1" applyAlignment="1">
      <alignment horizontal="left" vertical="center"/>
    </xf>
    <xf numFmtId="0" fontId="62" fillId="0" borderId="0" xfId="0" applyNumberFormat="1" applyFont="1" applyFill="1" applyBorder="1" applyAlignment="1">
      <alignment horizontal="left" vertical="center"/>
    </xf>
    <xf numFmtId="0" fontId="62" fillId="0" borderId="0" xfId="0" applyNumberFormat="1" applyFont="1" applyFill="1" applyBorder="1" applyAlignment="1">
      <alignment horizontal="right" vertical="center"/>
    </xf>
    <xf numFmtId="171" fontId="6" fillId="0" borderId="0" xfId="0" applyNumberFormat="1" applyFont="1" applyFill="1" applyBorder="1" applyAlignment="1">
      <alignment vertical="center"/>
    </xf>
    <xf numFmtId="11" fontId="6" fillId="0" borderId="0" xfId="0" applyNumberFormat="1" applyFont="1" applyFill="1" applyBorder="1" applyAlignment="1">
      <alignment vertical="center"/>
    </xf>
    <xf numFmtId="0" fontId="10" fillId="0" borderId="0" xfId="0" applyFont="1" applyFill="1" applyBorder="1" applyAlignment="1" applyProtection="1">
      <alignment horizontal="left" vertical="center"/>
      <protection hidden="1"/>
    </xf>
    <xf numFmtId="0" fontId="27" fillId="0" borderId="0" xfId="0" applyNumberFormat="1" applyFont="1" applyFill="1" applyBorder="1" applyAlignment="1">
      <alignment horizontal="left" vertical="center"/>
    </xf>
    <xf numFmtId="0" fontId="27" fillId="0" borderId="0" xfId="0" applyFont="1" applyFill="1" applyBorder="1" applyAlignment="1">
      <alignment horizontal="left" vertical="center"/>
    </xf>
    <xf numFmtId="166" fontId="27" fillId="0" borderId="0" xfId="0" applyNumberFormat="1" applyFont="1" applyFill="1" applyBorder="1" applyAlignment="1">
      <alignment horizontal="left" vertical="center"/>
    </xf>
    <xf numFmtId="2" fontId="19" fillId="0" borderId="0" xfId="0" applyNumberFormat="1" applyFont="1" applyFill="1" applyBorder="1" applyAlignment="1">
      <alignment horizontal="left" vertical="center"/>
    </xf>
    <xf numFmtId="0" fontId="27" fillId="0" borderId="20" xfId="0" applyFont="1" applyFill="1" applyBorder="1" applyAlignment="1">
      <alignment vertical="center"/>
    </xf>
    <xf numFmtId="0" fontId="26" fillId="0" borderId="20" xfId="0" applyFont="1" applyFill="1" applyBorder="1" applyAlignment="1">
      <alignment vertical="center"/>
    </xf>
    <xf numFmtId="2" fontId="26" fillId="0" borderId="20" xfId="0" applyNumberFormat="1" applyFont="1" applyFill="1" applyBorder="1" applyAlignment="1">
      <alignment horizontal="center" vertical="center"/>
    </xf>
    <xf numFmtId="0" fontId="19" fillId="0" borderId="20" xfId="0" applyFont="1" applyFill="1" applyBorder="1" applyAlignment="1">
      <alignment vertical="center"/>
    </xf>
    <xf numFmtId="0" fontId="19" fillId="0" borderId="20" xfId="0" applyFont="1" applyFill="1" applyBorder="1" applyAlignment="1" applyProtection="1">
      <alignment horizontal="center" vertical="center"/>
      <protection locked="0"/>
    </xf>
    <xf numFmtId="2" fontId="19" fillId="0" borderId="20" xfId="0" applyNumberFormat="1" applyFont="1" applyFill="1" applyBorder="1" applyAlignment="1">
      <alignment horizontal="center" vertical="center"/>
    </xf>
    <xf numFmtId="0" fontId="26" fillId="0" borderId="20" xfId="0" applyFont="1" applyFill="1" applyBorder="1" applyAlignment="1" applyProtection="1">
      <alignment horizontal="center" vertical="center"/>
      <protection locked="0"/>
    </xf>
    <xf numFmtId="0" fontId="26" fillId="0" borderId="20" xfId="0" applyFont="1" applyFill="1" applyBorder="1" applyAlignment="1">
      <alignment vertical="center" wrapText="1"/>
    </xf>
    <xf numFmtId="167" fontId="26" fillId="0" borderId="20" xfId="0" applyNumberFormat="1" applyFont="1" applyFill="1" applyBorder="1" applyAlignment="1" applyProtection="1">
      <alignment horizontal="center" vertical="center"/>
      <protection locked="0"/>
    </xf>
    <xf numFmtId="165" fontId="26" fillId="0" borderId="20" xfId="0" applyNumberFormat="1" applyFont="1" applyFill="1" applyBorder="1" applyAlignment="1">
      <alignment horizontal="center" vertical="center"/>
    </xf>
    <xf numFmtId="0" fontId="27" fillId="0" borderId="20" xfId="0" applyFont="1" applyFill="1" applyBorder="1" applyAlignment="1">
      <alignment vertical="center" wrapText="1"/>
    </xf>
    <xf numFmtId="0" fontId="26" fillId="0" borderId="20" xfId="0" applyFont="1" applyFill="1" applyBorder="1" applyAlignment="1">
      <alignment horizontal="center" vertical="center"/>
    </xf>
    <xf numFmtId="2" fontId="27" fillId="0" borderId="0" xfId="0" applyNumberFormat="1" applyFont="1" applyFill="1" applyBorder="1" applyAlignment="1">
      <alignment horizontal="center" vertical="center"/>
    </xf>
    <xf numFmtId="0" fontId="26" fillId="0" borderId="20" xfId="0" applyFont="1" applyFill="1" applyBorder="1" applyAlignment="1" applyProtection="1">
      <alignment horizontal="center" vertical="center"/>
      <protection/>
    </xf>
    <xf numFmtId="0" fontId="43" fillId="0" borderId="0" xfId="0" applyFont="1" applyFill="1" applyBorder="1" applyAlignment="1">
      <alignment horizontal="left" vertical="center"/>
    </xf>
    <xf numFmtId="168" fontId="50" fillId="0" borderId="0" xfId="0" applyNumberFormat="1" applyFont="1" applyFill="1" applyBorder="1" applyAlignment="1">
      <alignment horizontal="left" vertical="center"/>
    </xf>
    <xf numFmtId="0" fontId="8" fillId="0" borderId="20" xfId="0" applyFont="1" applyFill="1" applyBorder="1" applyAlignment="1">
      <alignment horizontal="left" vertical="center"/>
    </xf>
    <xf numFmtId="168" fontId="50" fillId="0" borderId="0" xfId="61" applyNumberFormat="1" applyFont="1" applyFill="1" applyBorder="1" applyAlignment="1">
      <alignment horizontal="left" vertical="center"/>
    </xf>
    <xf numFmtId="10" fontId="50" fillId="0" borderId="0" xfId="61" applyNumberFormat="1" applyFont="1" applyFill="1" applyBorder="1" applyAlignment="1">
      <alignment horizontal="left" vertical="center"/>
    </xf>
    <xf numFmtId="0" fontId="51" fillId="0" borderId="0" xfId="0" applyFont="1" applyFill="1" applyBorder="1" applyAlignment="1">
      <alignment horizontal="left" vertical="center"/>
    </xf>
    <xf numFmtId="0" fontId="52" fillId="0" borderId="0" xfId="0" applyFont="1" applyFill="1" applyBorder="1" applyAlignment="1">
      <alignment horizontal="left" vertical="center"/>
    </xf>
    <xf numFmtId="0" fontId="53" fillId="0" borderId="0" xfId="0" applyFont="1" applyFill="1" applyBorder="1" applyAlignment="1">
      <alignment horizontal="left" vertical="center"/>
    </xf>
    <xf numFmtId="10" fontId="19" fillId="0" borderId="0" xfId="61" applyNumberFormat="1" applyFont="1" applyFill="1" applyBorder="1" applyAlignment="1">
      <alignment horizontal="right" vertical="center"/>
    </xf>
    <xf numFmtId="10" fontId="19" fillId="0" borderId="0" xfId="61" applyNumberFormat="1" applyFont="1" applyFill="1" applyBorder="1" applyAlignment="1">
      <alignment horizontal="left" vertical="center"/>
    </xf>
    <xf numFmtId="0" fontId="19" fillId="0" borderId="0" xfId="0" applyFont="1" applyFill="1" applyBorder="1" applyAlignment="1">
      <alignment horizontal="right" vertical="center"/>
    </xf>
    <xf numFmtId="166"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54" fillId="0" borderId="0" xfId="0" applyFont="1" applyFill="1" applyBorder="1" applyAlignment="1">
      <alignment vertical="center"/>
    </xf>
    <xf numFmtId="0" fontId="6" fillId="38" borderId="0" xfId="0" applyFont="1" applyFill="1" applyBorder="1" applyAlignment="1">
      <alignment horizontal="right" vertical="center"/>
    </xf>
    <xf numFmtId="166" fontId="6" fillId="38" borderId="16" xfId="0" applyNumberFormat="1" applyFont="1" applyFill="1" applyBorder="1" applyAlignment="1">
      <alignment horizontal="left" vertical="center"/>
    </xf>
    <xf numFmtId="0" fontId="6" fillId="34" borderId="16" xfId="0" applyFont="1" applyFill="1" applyBorder="1" applyAlignment="1">
      <alignment horizontal="center" vertical="center"/>
    </xf>
    <xf numFmtId="166" fontId="6" fillId="34" borderId="16" xfId="0" applyNumberFormat="1" applyFont="1" applyFill="1" applyBorder="1" applyAlignment="1">
      <alignment horizontal="left" vertical="center"/>
    </xf>
    <xf numFmtId="0" fontId="6" fillId="34" borderId="16" xfId="0" applyFont="1" applyFill="1" applyBorder="1" applyAlignment="1">
      <alignment horizontal="left" vertical="center"/>
    </xf>
    <xf numFmtId="0" fontId="6" fillId="34" borderId="93" xfId="0" applyFont="1" applyFill="1" applyBorder="1" applyAlignment="1">
      <alignment vertical="center"/>
    </xf>
    <xf numFmtId="0" fontId="6" fillId="34" borderId="94" xfId="0" applyFont="1" applyFill="1" applyBorder="1" applyAlignment="1">
      <alignment vertical="center"/>
    </xf>
    <xf numFmtId="0" fontId="6" fillId="34" borderId="95" xfId="0" applyFont="1" applyFill="1" applyBorder="1" applyAlignment="1">
      <alignment horizontal="right" vertical="center"/>
    </xf>
    <xf numFmtId="0" fontId="6" fillId="34" borderId="37" xfId="0" applyFont="1" applyFill="1" applyBorder="1" applyAlignment="1">
      <alignment vertical="center"/>
    </xf>
    <xf numFmtId="0" fontId="6" fillId="34" borderId="38" xfId="0" applyFont="1" applyFill="1" applyBorder="1" applyAlignment="1">
      <alignment vertical="center"/>
    </xf>
    <xf numFmtId="0" fontId="6" fillId="34" borderId="96" xfId="0" applyFont="1" applyFill="1" applyBorder="1" applyAlignment="1">
      <alignment vertical="center"/>
    </xf>
    <xf numFmtId="0" fontId="6" fillId="34" borderId="97" xfId="0" applyFont="1" applyFill="1" applyBorder="1" applyAlignment="1">
      <alignment vertical="center"/>
    </xf>
    <xf numFmtId="0" fontId="6" fillId="38" borderId="98" xfId="0" applyFont="1" applyFill="1" applyBorder="1" applyAlignment="1">
      <alignment vertical="center"/>
    </xf>
    <xf numFmtId="0" fontId="6" fillId="38" borderId="99" xfId="0" applyFont="1" applyFill="1" applyBorder="1" applyAlignment="1">
      <alignment horizontal="right" vertical="center"/>
    </xf>
    <xf numFmtId="168" fontId="6" fillId="38" borderId="100" xfId="0" applyNumberFormat="1" applyFont="1" applyFill="1" applyBorder="1" applyAlignment="1">
      <alignment horizontal="left" vertical="center"/>
    </xf>
    <xf numFmtId="0" fontId="8" fillId="34" borderId="10" xfId="0" applyFont="1" applyFill="1" applyBorder="1" applyAlignment="1">
      <alignment horizontal="right" vertical="center"/>
    </xf>
    <xf numFmtId="0" fontId="8" fillId="34" borderId="94" xfId="0" applyFont="1" applyFill="1" applyBorder="1" applyAlignment="1">
      <alignment horizontal="right" vertical="center"/>
    </xf>
    <xf numFmtId="0" fontId="6" fillId="34" borderId="101" xfId="0" applyFont="1" applyFill="1" applyBorder="1" applyAlignment="1">
      <alignment vertical="center"/>
    </xf>
    <xf numFmtId="2" fontId="6" fillId="34" borderId="16" xfId="0" applyNumberFormat="1" applyFont="1" applyFill="1" applyBorder="1" applyAlignment="1">
      <alignment horizontal="left" vertical="center"/>
    </xf>
    <xf numFmtId="0" fontId="19" fillId="38" borderId="102" xfId="0" applyFont="1" applyFill="1" applyBorder="1" applyAlignment="1" applyProtection="1">
      <alignment horizontal="center" vertical="center" wrapText="1"/>
      <protection/>
    </xf>
    <xf numFmtId="0" fontId="2" fillId="38" borderId="66" xfId="0" applyFont="1" applyFill="1" applyBorder="1" applyAlignment="1" applyProtection="1">
      <alignment vertical="center"/>
      <protection/>
    </xf>
    <xf numFmtId="0" fontId="2" fillId="38" borderId="76" xfId="0" applyFont="1" applyFill="1" applyBorder="1" applyAlignment="1" applyProtection="1">
      <alignment vertical="center"/>
      <protection/>
    </xf>
    <xf numFmtId="0" fontId="19" fillId="38" borderId="49" xfId="0" applyFont="1" applyFill="1" applyBorder="1" applyAlignment="1" applyProtection="1">
      <alignment horizontal="center" vertical="center" wrapText="1"/>
      <protection/>
    </xf>
    <xf numFmtId="0" fontId="7" fillId="38" borderId="47" xfId="0" applyFont="1" applyFill="1" applyBorder="1" applyAlignment="1" applyProtection="1">
      <alignment vertical="center"/>
      <protection/>
    </xf>
    <xf numFmtId="0" fontId="19" fillId="38" borderId="47" xfId="0" applyNumberFormat="1" applyFont="1" applyFill="1" applyBorder="1" applyAlignment="1" applyProtection="1">
      <alignment horizontal="center" vertical="center"/>
      <protection/>
    </xf>
    <xf numFmtId="0" fontId="19" fillId="38" borderId="77" xfId="0" applyNumberFormat="1" applyFont="1" applyFill="1" applyBorder="1" applyAlignment="1" applyProtection="1">
      <alignment horizontal="center" vertical="center"/>
      <protection/>
    </xf>
    <xf numFmtId="0" fontId="6" fillId="34" borderId="95" xfId="0" applyFont="1" applyFill="1" applyBorder="1" applyAlignment="1">
      <alignment vertical="center"/>
    </xf>
    <xf numFmtId="166" fontId="6" fillId="34" borderId="101" xfId="0" applyNumberFormat="1" applyFont="1" applyFill="1" applyBorder="1" applyAlignment="1">
      <alignment horizontal="left" vertical="center"/>
    </xf>
    <xf numFmtId="0" fontId="19" fillId="38" borderId="37" xfId="0" applyFont="1" applyFill="1" applyBorder="1" applyAlignment="1">
      <alignment vertical="center"/>
    </xf>
    <xf numFmtId="0" fontId="8" fillId="38" borderId="17" xfId="0" applyFont="1" applyFill="1" applyBorder="1" applyAlignment="1">
      <alignment horizontal="right" vertical="center"/>
    </xf>
    <xf numFmtId="0" fontId="42" fillId="34" borderId="37" xfId="0" applyFont="1" applyFill="1" applyBorder="1" applyAlignment="1">
      <alignment horizontal="center" vertical="center"/>
    </xf>
    <xf numFmtId="0" fontId="42" fillId="34" borderId="17" xfId="0" applyFont="1" applyFill="1" applyBorder="1" applyAlignment="1">
      <alignment horizontal="center" vertical="center"/>
    </xf>
    <xf numFmtId="0" fontId="42" fillId="34" borderId="38" xfId="0" applyFont="1" applyFill="1" applyBorder="1" applyAlignment="1">
      <alignment horizontal="center" vertical="center"/>
    </xf>
    <xf numFmtId="0" fontId="8" fillId="34" borderId="103" xfId="0" applyFont="1" applyFill="1" applyBorder="1" applyAlignment="1">
      <alignment horizontal="right" vertical="center"/>
    </xf>
    <xf numFmtId="0" fontId="6" fillId="38" borderId="94" xfId="0" applyFont="1" applyFill="1" applyBorder="1" applyAlignment="1">
      <alignment vertical="center"/>
    </xf>
    <xf numFmtId="0" fontId="6" fillId="38" borderId="95" xfId="0" applyFont="1" applyFill="1" applyBorder="1" applyAlignment="1">
      <alignment horizontal="right" vertical="center"/>
    </xf>
    <xf numFmtId="166" fontId="6" fillId="38" borderId="101" xfId="0" applyNumberFormat="1" applyFont="1" applyFill="1" applyBorder="1" applyAlignment="1">
      <alignment horizontal="left" vertical="center"/>
    </xf>
    <xf numFmtId="0" fontId="10" fillId="0" borderId="0" xfId="0" applyFont="1" applyFill="1" applyBorder="1" applyAlignment="1" applyProtection="1">
      <alignment horizontal="left"/>
      <protection hidden="1"/>
    </xf>
    <xf numFmtId="0" fontId="6" fillId="0" borderId="0" xfId="0" applyFont="1" applyFill="1" applyBorder="1" applyAlignment="1">
      <alignment horizontal="left"/>
    </xf>
    <xf numFmtId="0" fontId="27" fillId="0" borderId="0" xfId="0" applyNumberFormat="1" applyFont="1" applyFill="1" applyBorder="1" applyAlignment="1">
      <alignment horizontal="left"/>
    </xf>
    <xf numFmtId="0" fontId="42" fillId="34" borderId="10" xfId="0" applyFont="1" applyFill="1" applyBorder="1" applyAlignment="1">
      <alignment horizontal="center"/>
    </xf>
    <xf numFmtId="0" fontId="0" fillId="34" borderId="16" xfId="0" applyFill="1" applyBorder="1" applyAlignment="1">
      <alignment horizontal="center"/>
    </xf>
    <xf numFmtId="0" fontId="40" fillId="34" borderId="0" xfId="0" applyFont="1" applyFill="1" applyBorder="1" applyAlignment="1">
      <alignment vertical="center"/>
    </xf>
    <xf numFmtId="0" fontId="6" fillId="38" borderId="10" xfId="0" applyFont="1" applyFill="1" applyBorder="1" applyAlignment="1">
      <alignment/>
    </xf>
    <xf numFmtId="166" fontId="40" fillId="38" borderId="16" xfId="0" applyNumberFormat="1" applyFont="1" applyFill="1" applyBorder="1" applyAlignment="1">
      <alignment horizontal="left"/>
    </xf>
    <xf numFmtId="0" fontId="40" fillId="38" borderId="38" xfId="0" applyFont="1" applyFill="1" applyBorder="1" applyAlignment="1">
      <alignment horizontal="center"/>
    </xf>
    <xf numFmtId="0" fontId="6" fillId="38" borderId="94" xfId="0" applyFont="1" applyFill="1" applyBorder="1" applyAlignment="1">
      <alignment/>
    </xf>
    <xf numFmtId="166" fontId="40" fillId="38" borderId="101" xfId="0" applyNumberFormat="1" applyFont="1" applyFill="1" applyBorder="1" applyAlignment="1">
      <alignment horizontal="left"/>
    </xf>
    <xf numFmtId="0" fontId="8" fillId="34" borderId="104" xfId="0" applyFont="1" applyFill="1" applyBorder="1" applyAlignment="1">
      <alignment horizontal="right" vertical="center"/>
    </xf>
    <xf numFmtId="0" fontId="6" fillId="34" borderId="101" xfId="0" applyFont="1" applyFill="1" applyBorder="1" applyAlignment="1">
      <alignment/>
    </xf>
    <xf numFmtId="0" fontId="6" fillId="34" borderId="37" xfId="0" applyFont="1" applyFill="1" applyBorder="1" applyAlignment="1">
      <alignment/>
    </xf>
    <xf numFmtId="0" fontId="19" fillId="34" borderId="49" xfId="0" applyNumberFormat="1" applyFont="1" applyFill="1" applyBorder="1" applyAlignment="1">
      <alignment horizontal="center" vertical="center"/>
    </xf>
    <xf numFmtId="0" fontId="19" fillId="34" borderId="13" xfId="0" applyNumberFormat="1" applyFont="1" applyFill="1" applyBorder="1" applyAlignment="1">
      <alignment horizontal="center" vertical="center"/>
    </xf>
    <xf numFmtId="11" fontId="19" fillId="34" borderId="47" xfId="61" applyNumberFormat="1" applyFont="1" applyFill="1" applyBorder="1" applyAlignment="1">
      <alignment horizontal="center" vertical="center"/>
    </xf>
    <xf numFmtId="11" fontId="19" fillId="34" borderId="14" xfId="61" applyNumberFormat="1" applyFont="1" applyFill="1" applyBorder="1" applyAlignment="1">
      <alignment horizontal="center" vertical="center"/>
    </xf>
    <xf numFmtId="11" fontId="19" fillId="34" borderId="16" xfId="61" applyNumberFormat="1" applyFont="1" applyFill="1" applyBorder="1" applyAlignment="1">
      <alignment horizontal="center" vertical="center"/>
    </xf>
    <xf numFmtId="11" fontId="95" fillId="34" borderId="16" xfId="61" applyNumberFormat="1" applyFont="1" applyFill="1" applyBorder="1" applyAlignment="1">
      <alignment horizontal="center" vertical="center"/>
    </xf>
    <xf numFmtId="11" fontId="19" fillId="34" borderId="77" xfId="61" applyNumberFormat="1" applyFont="1" applyFill="1" applyBorder="1" applyAlignment="1">
      <alignment horizontal="center" vertical="center"/>
    </xf>
    <xf numFmtId="0" fontId="42" fillId="34" borderId="0" xfId="0" applyFont="1" applyFill="1" applyBorder="1" applyAlignment="1">
      <alignment vertical="center"/>
    </xf>
    <xf numFmtId="0" fontId="6" fillId="34" borderId="17" xfId="0" applyNumberFormat="1" applyFont="1" applyFill="1" applyBorder="1" applyAlignment="1">
      <alignment vertical="center"/>
    </xf>
    <xf numFmtId="14" fontId="49"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0" fontId="49" fillId="0" borderId="0" xfId="0" applyNumberFormat="1" applyFont="1" applyFill="1" applyBorder="1" applyAlignment="1">
      <alignment vertical="center"/>
    </xf>
    <xf numFmtId="0" fontId="49"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9" fillId="0" borderId="0" xfId="0" applyFont="1" applyFill="1" applyBorder="1" applyAlignment="1">
      <alignment vertical="center"/>
    </xf>
    <xf numFmtId="0" fontId="121" fillId="34" borderId="33" xfId="0" applyFont="1" applyFill="1" applyBorder="1" applyAlignment="1">
      <alignment vertical="center"/>
    </xf>
    <xf numFmtId="0" fontId="69" fillId="34" borderId="34" xfId="0" applyFont="1" applyFill="1" applyBorder="1" applyAlignment="1">
      <alignment vertical="center"/>
    </xf>
    <xf numFmtId="0" fontId="10" fillId="34" borderId="34" xfId="0" applyFont="1" applyFill="1" applyBorder="1" applyAlignment="1">
      <alignment vertical="center"/>
    </xf>
    <xf numFmtId="0" fontId="10" fillId="34" borderId="34" xfId="0" applyNumberFormat="1" applyFont="1" applyFill="1" applyBorder="1" applyAlignment="1">
      <alignment vertical="center"/>
    </xf>
    <xf numFmtId="0" fontId="10" fillId="34" borderId="29" xfId="0" applyNumberFormat="1" applyFont="1" applyFill="1" applyBorder="1" applyAlignment="1">
      <alignment vertical="center"/>
    </xf>
    <xf numFmtId="0" fontId="6" fillId="34" borderId="10"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19" fillId="34" borderId="0" xfId="0" applyNumberFormat="1" applyFont="1" applyFill="1" applyBorder="1" applyAlignment="1">
      <alignment horizontal="center" vertical="center" wrapText="1"/>
    </xf>
    <xf numFmtId="0" fontId="6" fillId="38" borderId="0" xfId="0" applyNumberFormat="1" applyFont="1" applyFill="1" applyBorder="1" applyAlignment="1">
      <alignment horizontal="center" vertical="center" wrapText="1"/>
    </xf>
    <xf numFmtId="0" fontId="6" fillId="34"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26" fillId="34" borderId="17" xfId="0" applyFont="1" applyFill="1" applyBorder="1" applyAlignment="1">
      <alignment horizontal="center" vertical="center" wrapText="1"/>
    </xf>
    <xf numFmtId="0" fontId="19" fillId="38" borderId="0" xfId="0" applyNumberFormat="1" applyFont="1" applyFill="1" applyBorder="1" applyAlignment="1">
      <alignment horizontal="center" vertical="center" wrapText="1"/>
    </xf>
    <xf numFmtId="0" fontId="19" fillId="34" borderId="15" xfId="0" applyNumberFormat="1" applyFont="1" applyFill="1" applyBorder="1" applyAlignment="1">
      <alignment horizontal="center" vertical="center"/>
    </xf>
    <xf numFmtId="0" fontId="26" fillId="34" borderId="0" xfId="0" applyNumberFormat="1" applyFont="1" applyFill="1" applyBorder="1" applyAlignment="1">
      <alignment horizontal="center" vertical="center"/>
    </xf>
    <xf numFmtId="0" fontId="59" fillId="34" borderId="0" xfId="0" applyFont="1" applyFill="1" applyBorder="1" applyAlignment="1">
      <alignment vertical="center"/>
    </xf>
    <xf numFmtId="0" fontId="59" fillId="34" borderId="10" xfId="0" applyFont="1" applyFill="1" applyBorder="1" applyAlignment="1">
      <alignment vertical="center"/>
    </xf>
    <xf numFmtId="0" fontId="59" fillId="34" borderId="0" xfId="0" applyFont="1" applyFill="1" applyBorder="1" applyAlignment="1" applyProtection="1">
      <alignment vertical="center"/>
      <protection/>
    </xf>
    <xf numFmtId="0" fontId="19" fillId="34" borderId="0" xfId="0" applyNumberFormat="1" applyFont="1" applyFill="1" applyBorder="1" applyAlignment="1">
      <alignment vertical="center"/>
    </xf>
    <xf numFmtId="0" fontId="19" fillId="38" borderId="47" xfId="0" applyNumberFormat="1" applyFont="1" applyFill="1" applyBorder="1" applyAlignment="1">
      <alignment vertical="center"/>
    </xf>
    <xf numFmtId="0" fontId="19" fillId="38" borderId="0" xfId="0" applyNumberFormat="1" applyFont="1" applyFill="1" applyBorder="1" applyAlignment="1">
      <alignment vertical="center"/>
    </xf>
    <xf numFmtId="0" fontId="19" fillId="38" borderId="14" xfId="0" applyNumberFormat="1" applyFont="1" applyFill="1" applyBorder="1" applyAlignment="1">
      <alignment horizontal="center" vertical="center"/>
    </xf>
    <xf numFmtId="0" fontId="19" fillId="38" borderId="16" xfId="0" applyNumberFormat="1" applyFont="1" applyFill="1" applyBorder="1" applyAlignment="1">
      <alignment vertical="center"/>
    </xf>
    <xf numFmtId="0" fontId="19" fillId="34" borderId="47" xfId="0" applyNumberFormat="1" applyFont="1" applyFill="1" applyBorder="1" applyAlignment="1">
      <alignment vertical="center"/>
    </xf>
    <xf numFmtId="0" fontId="19" fillId="34" borderId="14" xfId="0" applyNumberFormat="1" applyFont="1" applyFill="1" applyBorder="1" applyAlignment="1">
      <alignment vertical="center"/>
    </xf>
    <xf numFmtId="0" fontId="19" fillId="34" borderId="16" xfId="0" applyNumberFormat="1" applyFont="1" applyFill="1" applyBorder="1" applyAlignment="1">
      <alignment vertical="center"/>
    </xf>
    <xf numFmtId="0" fontId="8" fillId="34" borderId="0" xfId="0" applyFont="1" applyFill="1" applyBorder="1" applyAlignment="1">
      <alignment horizontal="center" vertical="center" wrapText="1"/>
    </xf>
    <xf numFmtId="0" fontId="26" fillId="34" borderId="23" xfId="0" applyFont="1" applyFill="1" applyBorder="1" applyAlignment="1">
      <alignment horizontal="right" vertical="center"/>
    </xf>
    <xf numFmtId="0" fontId="26" fillId="34" borderId="68" xfId="0" applyNumberFormat="1" applyFont="1" applyFill="1" applyBorder="1" applyAlignment="1" applyProtection="1">
      <alignment horizontal="center" vertical="center"/>
      <protection/>
    </xf>
    <xf numFmtId="0" fontId="19" fillId="34" borderId="23" xfId="61" applyNumberFormat="1" applyFont="1" applyFill="1" applyBorder="1" applyAlignment="1">
      <alignment horizontal="center" vertical="center"/>
    </xf>
    <xf numFmtId="11" fontId="19" fillId="38" borderId="77" xfId="61" applyNumberFormat="1" applyFont="1" applyFill="1" applyBorder="1" applyAlignment="1">
      <alignment horizontal="center" vertical="center"/>
    </xf>
    <xf numFmtId="11" fontId="19" fillId="38" borderId="23" xfId="61" applyNumberFormat="1" applyFont="1" applyFill="1" applyBorder="1" applyAlignment="1">
      <alignment horizontal="center" vertical="center"/>
    </xf>
    <xf numFmtId="11" fontId="19" fillId="38" borderId="26" xfId="61" applyNumberFormat="1" applyFont="1" applyFill="1" applyBorder="1" applyAlignment="1">
      <alignment horizontal="center" vertical="center"/>
    </xf>
    <xf numFmtId="11" fontId="95" fillId="38" borderId="24" xfId="61" applyNumberFormat="1" applyFont="1" applyFill="1" applyBorder="1" applyAlignment="1">
      <alignment horizontal="center" vertical="center"/>
    </xf>
    <xf numFmtId="11" fontId="95" fillId="34" borderId="23" xfId="61" applyNumberFormat="1" applyFont="1" applyFill="1" applyBorder="1" applyAlignment="1">
      <alignment horizontal="center" vertical="center"/>
    </xf>
    <xf numFmtId="11" fontId="19" fillId="34" borderId="23" xfId="61" applyNumberFormat="1" applyFont="1" applyFill="1" applyBorder="1" applyAlignment="1">
      <alignment horizontal="center" vertical="center"/>
    </xf>
    <xf numFmtId="11" fontId="19" fillId="34" borderId="26" xfId="61" applyNumberFormat="1" applyFont="1" applyFill="1" applyBorder="1" applyAlignment="1">
      <alignment horizontal="center" vertical="center"/>
    </xf>
    <xf numFmtId="11" fontId="95" fillId="34" borderId="24" xfId="61" applyNumberFormat="1" applyFont="1" applyFill="1" applyBorder="1" applyAlignment="1">
      <alignment horizontal="center" vertical="center"/>
    </xf>
    <xf numFmtId="0" fontId="52" fillId="34" borderId="0" xfId="61" applyNumberFormat="1" applyFont="1" applyFill="1" applyBorder="1" applyAlignment="1">
      <alignment horizontal="center" vertical="center"/>
    </xf>
    <xf numFmtId="0" fontId="26" fillId="34" borderId="26" xfId="0" applyFont="1" applyFill="1" applyBorder="1" applyAlignment="1">
      <alignment horizontal="right" vertical="center"/>
    </xf>
    <xf numFmtId="0" fontId="95" fillId="34" borderId="24" xfId="61" applyNumberFormat="1" applyFont="1" applyFill="1" applyBorder="1" applyAlignment="1">
      <alignment horizontal="center" vertical="center"/>
    </xf>
    <xf numFmtId="0" fontId="95" fillId="34" borderId="0" xfId="61" applyNumberFormat="1" applyFont="1" applyFill="1" applyBorder="1" applyAlignment="1">
      <alignment horizontal="center" vertical="center"/>
    </xf>
    <xf numFmtId="0" fontId="10" fillId="34" borderId="0" xfId="0" applyFont="1" applyFill="1" applyBorder="1" applyAlignment="1" applyProtection="1">
      <alignment horizontal="left" vertical="center"/>
      <protection hidden="1"/>
    </xf>
    <xf numFmtId="0" fontId="27" fillId="34" borderId="28" xfId="0" applyFont="1" applyFill="1" applyBorder="1" applyAlignment="1">
      <alignment horizontal="center" vertical="center"/>
    </xf>
    <xf numFmtId="0" fontId="27" fillId="34" borderId="29" xfId="0" applyFont="1" applyFill="1" applyBorder="1" applyAlignment="1">
      <alignment horizontal="center" vertical="center"/>
    </xf>
    <xf numFmtId="0" fontId="27" fillId="34" borderId="29" xfId="0" applyNumberFormat="1" applyFont="1" applyFill="1" applyBorder="1" applyAlignment="1">
      <alignment horizontal="center" vertical="center"/>
    </xf>
    <xf numFmtId="168" fontId="20" fillId="34" borderId="31" xfId="0" applyNumberFormat="1" applyFont="1" applyFill="1" applyBorder="1" applyAlignment="1" applyProtection="1">
      <alignment horizontal="center" vertical="center"/>
      <protection/>
    </xf>
    <xf numFmtId="0" fontId="19" fillId="34" borderId="29" xfId="61" applyNumberFormat="1" applyFont="1" applyFill="1" applyBorder="1" applyAlignment="1">
      <alignment horizontal="center" vertical="center"/>
    </xf>
    <xf numFmtId="11" fontId="19" fillId="38" borderId="105" xfId="61" applyNumberFormat="1" applyFont="1" applyFill="1" applyBorder="1" applyAlignment="1">
      <alignment horizontal="center" vertical="center"/>
    </xf>
    <xf numFmtId="11" fontId="19" fillId="38" borderId="29" xfId="61" applyNumberFormat="1" applyFont="1" applyFill="1" applyBorder="1" applyAlignment="1">
      <alignment horizontal="center" vertical="center"/>
    </xf>
    <xf numFmtId="11" fontId="19" fillId="38" borderId="78" xfId="61" applyNumberFormat="1" applyFont="1" applyFill="1" applyBorder="1" applyAlignment="1">
      <alignment horizontal="center" vertical="center"/>
    </xf>
    <xf numFmtId="11" fontId="95" fillId="38" borderId="31" xfId="61" applyNumberFormat="1" applyFont="1" applyFill="1" applyBorder="1" applyAlignment="1">
      <alignment horizontal="center" vertical="center"/>
    </xf>
    <xf numFmtId="11" fontId="95" fillId="34" borderId="29" xfId="61" applyNumberFormat="1" applyFont="1" applyFill="1" applyBorder="1" applyAlignment="1">
      <alignment horizontal="center" vertical="center"/>
    </xf>
    <xf numFmtId="11" fontId="19" fillId="34" borderId="29" xfId="61" applyNumberFormat="1" applyFont="1" applyFill="1" applyBorder="1" applyAlignment="1">
      <alignment horizontal="center" vertical="center"/>
    </xf>
    <xf numFmtId="11" fontId="19" fillId="34" borderId="105" xfId="61" applyNumberFormat="1" applyFont="1" applyFill="1" applyBorder="1" applyAlignment="1">
      <alignment horizontal="center" vertical="center"/>
    </xf>
    <xf numFmtId="11" fontId="19" fillId="34" borderId="30" xfId="61" applyNumberFormat="1" applyFont="1" applyFill="1" applyBorder="1" applyAlignment="1">
      <alignment horizontal="center" vertical="center"/>
    </xf>
    <xf numFmtId="11" fontId="95" fillId="34" borderId="31" xfId="61" applyNumberFormat="1" applyFont="1" applyFill="1" applyBorder="1" applyAlignment="1">
      <alignment horizontal="center" vertical="center"/>
    </xf>
    <xf numFmtId="0" fontId="6" fillId="34" borderId="10" xfId="61" applyNumberFormat="1" applyFont="1" applyFill="1" applyBorder="1" applyAlignment="1">
      <alignment horizontal="center" vertical="center"/>
    </xf>
    <xf numFmtId="0" fontId="57" fillId="34" borderId="0" xfId="0" applyNumberFormat="1" applyFont="1" applyFill="1" applyBorder="1" applyAlignment="1">
      <alignment horizontal="left" vertical="center"/>
    </xf>
    <xf numFmtId="0" fontId="43" fillId="0" borderId="0" xfId="0" applyFont="1" applyFill="1" applyBorder="1" applyAlignment="1">
      <alignment vertical="center"/>
    </xf>
    <xf numFmtId="0" fontId="6" fillId="0" borderId="0" xfId="0" applyNumberFormat="1" applyFont="1" applyFill="1" applyBorder="1" applyAlignment="1">
      <alignment vertical="center"/>
    </xf>
    <xf numFmtId="0" fontId="26" fillId="0" borderId="0" xfId="0" applyFont="1" applyFill="1" applyBorder="1" applyAlignment="1">
      <alignment vertical="center" wrapText="1"/>
    </xf>
    <xf numFmtId="0" fontId="6" fillId="34" borderId="106" xfId="0" applyFont="1" applyFill="1" applyBorder="1" applyAlignment="1">
      <alignment vertical="center"/>
    </xf>
    <xf numFmtId="0" fontId="40" fillId="34" borderId="10" xfId="0" applyFont="1" applyFill="1" applyBorder="1" applyAlignment="1">
      <alignment horizontal="center" vertical="center"/>
    </xf>
    <xf numFmtId="0" fontId="6" fillId="34" borderId="0" xfId="0" applyFont="1" applyFill="1" applyBorder="1" applyAlignment="1">
      <alignment horizontal="left" vertical="center"/>
    </xf>
    <xf numFmtId="0" fontId="8" fillId="34" borderId="0" xfId="0" applyFont="1" applyFill="1" applyBorder="1" applyAlignment="1">
      <alignment horizontal="right" vertical="center"/>
    </xf>
    <xf numFmtId="0" fontId="112" fillId="0" borderId="11" xfId="0" applyFont="1" applyFill="1" applyBorder="1" applyAlignment="1">
      <alignment vertical="center"/>
    </xf>
    <xf numFmtId="0" fontId="112" fillId="0" borderId="12" xfId="0" applyFont="1" applyFill="1" applyBorder="1" applyAlignment="1">
      <alignment vertical="center"/>
    </xf>
    <xf numFmtId="2" fontId="6" fillId="0" borderId="15" xfId="0" applyNumberFormat="1" applyFont="1" applyFill="1" applyBorder="1" applyAlignment="1">
      <alignment horizontal="center" vertical="center"/>
    </xf>
    <xf numFmtId="0" fontId="112" fillId="0" borderId="10" xfId="0" applyFont="1" applyFill="1" applyBorder="1" applyAlignment="1">
      <alignment vertical="center"/>
    </xf>
    <xf numFmtId="0" fontId="112" fillId="0" borderId="0" xfId="0" applyFont="1" applyFill="1" applyBorder="1" applyAlignment="1">
      <alignment vertical="center"/>
    </xf>
    <xf numFmtId="0" fontId="112" fillId="0" borderId="0" xfId="0" applyFont="1" applyFill="1" applyBorder="1" applyAlignment="1">
      <alignment horizontal="center" vertical="center"/>
    </xf>
    <xf numFmtId="2" fontId="6" fillId="0" borderId="16" xfId="0" applyNumberFormat="1" applyFont="1" applyFill="1" applyBorder="1" applyAlignment="1">
      <alignment horizontal="center" vertical="center"/>
    </xf>
    <xf numFmtId="0" fontId="112" fillId="0" borderId="25" xfId="0" applyFont="1" applyFill="1" applyBorder="1" applyAlignment="1">
      <alignment vertical="center"/>
    </xf>
    <xf numFmtId="0" fontId="112" fillId="0" borderId="23" xfId="0" applyFont="1" applyFill="1" applyBorder="1" applyAlignment="1">
      <alignment vertical="center" wrapText="1"/>
    </xf>
    <xf numFmtId="0" fontId="112" fillId="0" borderId="23" xfId="0" applyFont="1" applyFill="1" applyBorder="1" applyAlignment="1">
      <alignment horizontal="center" vertical="center"/>
    </xf>
    <xf numFmtId="167" fontId="6" fillId="0" borderId="24" xfId="0" applyNumberFormat="1" applyFont="1" applyFill="1" applyBorder="1" applyAlignment="1" applyProtection="1">
      <alignment horizontal="center" vertical="center"/>
      <protection locked="0"/>
    </xf>
    <xf numFmtId="0" fontId="60" fillId="0" borderId="0" xfId="0" applyFont="1" applyFill="1" applyBorder="1" applyAlignment="1">
      <alignment horizontal="right" vertical="center"/>
    </xf>
    <xf numFmtId="0" fontId="57" fillId="0" borderId="0" xfId="0" applyNumberFormat="1" applyFont="1" applyFill="1" applyBorder="1" applyAlignment="1">
      <alignment horizontal="right" vertical="center"/>
    </xf>
    <xf numFmtId="0" fontId="57" fillId="0" borderId="0" xfId="0" applyNumberFormat="1" applyFont="1" applyFill="1" applyBorder="1" applyAlignment="1">
      <alignment horizontal="center" vertical="center"/>
    </xf>
    <xf numFmtId="164" fontId="57" fillId="0" borderId="0" xfId="0" applyNumberFormat="1" applyFont="1" applyFill="1" applyBorder="1" applyAlignment="1">
      <alignment horizontal="left" vertical="center"/>
    </xf>
    <xf numFmtId="0" fontId="6" fillId="0" borderId="0" xfId="61" applyNumberFormat="1" applyFont="1" applyFill="1" applyBorder="1" applyAlignment="1">
      <alignment horizontal="center" vertical="center"/>
    </xf>
    <xf numFmtId="169"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175" fontId="40" fillId="0" borderId="0" xfId="61" applyNumberFormat="1" applyFont="1" applyFill="1" applyBorder="1" applyAlignment="1">
      <alignment horizontal="left" vertical="center"/>
    </xf>
    <xf numFmtId="0" fontId="40" fillId="0" borderId="0" xfId="0" applyFont="1" applyFill="1" applyBorder="1" applyAlignment="1">
      <alignment vertical="center"/>
    </xf>
    <xf numFmtId="0" fontId="6" fillId="0" borderId="65" xfId="0" applyFont="1" applyFill="1" applyBorder="1" applyAlignment="1">
      <alignment vertical="center"/>
    </xf>
    <xf numFmtId="0" fontId="6" fillId="0" borderId="76" xfId="0" applyFont="1" applyFill="1" applyBorder="1" applyAlignment="1">
      <alignment vertical="center"/>
    </xf>
    <xf numFmtId="11" fontId="6" fillId="0" borderId="66" xfId="0" applyNumberFormat="1" applyFont="1" applyFill="1" applyBorder="1" applyAlignment="1" applyProtection="1">
      <alignment vertical="center"/>
      <protection/>
    </xf>
    <xf numFmtId="11" fontId="6" fillId="0" borderId="14" xfId="0" applyNumberFormat="1" applyFont="1" applyFill="1" applyBorder="1" applyAlignment="1" applyProtection="1">
      <alignment horizontal="center" vertical="center"/>
      <protection/>
    </xf>
    <xf numFmtId="0" fontId="6" fillId="0" borderId="65" xfId="0" applyFont="1" applyFill="1" applyBorder="1" applyAlignment="1">
      <alignment horizontal="right" vertical="center"/>
    </xf>
    <xf numFmtId="0" fontId="6" fillId="0" borderId="66" xfId="0" applyNumberFormat="1" applyFont="1" applyFill="1" applyBorder="1" applyAlignment="1">
      <alignment vertical="center"/>
    </xf>
    <xf numFmtId="0" fontId="6" fillId="0" borderId="42" xfId="0" applyFont="1" applyFill="1" applyBorder="1" applyAlignment="1">
      <alignment horizontal="right" vertical="center"/>
    </xf>
    <xf numFmtId="0" fontId="6" fillId="0" borderId="14" xfId="0" applyNumberFormat="1" applyFont="1" applyFill="1" applyBorder="1" applyAlignment="1">
      <alignment vertical="center"/>
    </xf>
    <xf numFmtId="11" fontId="6" fillId="0" borderId="14" xfId="0" applyNumberFormat="1" applyFont="1" applyFill="1" applyBorder="1" applyAlignment="1">
      <alignment vertical="center"/>
    </xf>
    <xf numFmtId="0" fontId="6" fillId="0" borderId="0" xfId="0" applyFont="1" applyFill="1" applyBorder="1" applyAlignment="1" applyProtection="1">
      <alignment horizontal="center" vertical="center"/>
      <protection locked="0"/>
    </xf>
    <xf numFmtId="11" fontId="6" fillId="0" borderId="18" xfId="0" applyNumberFormat="1" applyFont="1" applyFill="1" applyBorder="1" applyAlignment="1">
      <alignment vertical="center"/>
    </xf>
    <xf numFmtId="0" fontId="6" fillId="0" borderId="67" xfId="0" applyFont="1" applyFill="1" applyBorder="1" applyAlignment="1">
      <alignment horizontal="right" vertical="center"/>
    </xf>
    <xf numFmtId="0" fontId="6" fillId="0" borderId="18" xfId="0" applyNumberFormat="1" applyFont="1" applyFill="1" applyBorder="1" applyAlignment="1">
      <alignment vertical="center"/>
    </xf>
    <xf numFmtId="167" fontId="10" fillId="0" borderId="0" xfId="61" applyNumberFormat="1" applyFont="1" applyFill="1" applyBorder="1" applyAlignment="1">
      <alignment horizontal="center" vertical="center"/>
    </xf>
    <xf numFmtId="0" fontId="10" fillId="0" borderId="0" xfId="0" applyFont="1" applyFill="1" applyBorder="1" applyAlignment="1">
      <alignment vertical="center"/>
    </xf>
    <xf numFmtId="175" fontId="54" fillId="0" borderId="0" xfId="61" applyNumberFormat="1" applyFont="1" applyFill="1" applyBorder="1" applyAlignment="1">
      <alignment horizontal="left" vertical="center"/>
    </xf>
    <xf numFmtId="0" fontId="42" fillId="0" borderId="0" xfId="0" applyFont="1" applyFill="1" applyBorder="1" applyAlignment="1">
      <alignment vertical="center"/>
    </xf>
    <xf numFmtId="11" fontId="26" fillId="34" borderId="107" xfId="0" applyNumberFormat="1" applyFont="1" applyFill="1" applyBorder="1" applyAlignment="1">
      <alignment horizontal="center" vertical="center"/>
    </xf>
    <xf numFmtId="11" fontId="26" fillId="34" borderId="108" xfId="0" applyNumberFormat="1" applyFont="1" applyFill="1" applyBorder="1" applyAlignment="1">
      <alignment horizontal="center" vertical="center"/>
    </xf>
    <xf numFmtId="11" fontId="26" fillId="34" borderId="109" xfId="0" applyNumberFormat="1" applyFont="1" applyFill="1" applyBorder="1" applyAlignment="1">
      <alignment horizontal="center" vertical="center"/>
    </xf>
    <xf numFmtId="11" fontId="26" fillId="34" borderId="110" xfId="0" applyNumberFormat="1" applyFont="1" applyFill="1" applyBorder="1" applyAlignment="1">
      <alignment horizontal="center" vertical="center"/>
    </xf>
    <xf numFmtId="2" fontId="10" fillId="0" borderId="0" xfId="0" applyNumberFormat="1" applyFont="1" applyFill="1" applyBorder="1" applyAlignment="1">
      <alignment vertical="center"/>
    </xf>
    <xf numFmtId="2" fontId="6" fillId="34" borderId="0" xfId="0" applyNumberFormat="1" applyFont="1" applyFill="1" applyBorder="1" applyAlignment="1">
      <alignment horizontal="left" vertical="center"/>
    </xf>
    <xf numFmtId="11" fontId="6" fillId="34" borderId="0" xfId="0" applyNumberFormat="1" applyFont="1" applyFill="1" applyBorder="1" applyAlignment="1">
      <alignment horizontal="left" vertical="center"/>
    </xf>
    <xf numFmtId="0" fontId="6" fillId="38" borderId="0" xfId="0" applyFont="1" applyFill="1" applyBorder="1" applyAlignment="1">
      <alignment vertical="center"/>
    </xf>
    <xf numFmtId="2" fontId="6" fillId="38" borderId="0" xfId="0" applyNumberFormat="1" applyFont="1" applyFill="1" applyBorder="1" applyAlignment="1">
      <alignment horizontal="left" vertical="center"/>
    </xf>
    <xf numFmtId="11" fontId="6" fillId="38" borderId="0" xfId="0" applyNumberFormat="1" applyFont="1" applyFill="1" applyBorder="1" applyAlignment="1">
      <alignment horizontal="left" vertical="center"/>
    </xf>
    <xf numFmtId="11" fontId="26" fillId="34" borderId="111" xfId="0" applyNumberFormat="1" applyFont="1" applyFill="1" applyBorder="1" applyAlignment="1">
      <alignment horizontal="center" vertical="center"/>
    </xf>
    <xf numFmtId="11" fontId="26" fillId="34" borderId="112" xfId="0" applyNumberFormat="1" applyFont="1" applyFill="1" applyBorder="1" applyAlignment="1">
      <alignment horizontal="center" vertical="center"/>
    </xf>
    <xf numFmtId="11" fontId="26" fillId="34" borderId="113" xfId="0" applyNumberFormat="1" applyFont="1" applyFill="1" applyBorder="1" applyAlignment="1">
      <alignment horizontal="center" vertical="center"/>
    </xf>
    <xf numFmtId="11" fontId="26" fillId="34" borderId="114" xfId="0" applyNumberFormat="1" applyFont="1" applyFill="1" applyBorder="1" applyAlignment="1">
      <alignment horizontal="center" vertical="center"/>
    </xf>
    <xf numFmtId="0" fontId="6" fillId="38" borderId="95" xfId="0" applyFont="1" applyFill="1" applyBorder="1" applyAlignment="1">
      <alignment vertical="center"/>
    </xf>
    <xf numFmtId="11" fontId="6" fillId="38" borderId="95" xfId="0" applyNumberFormat="1" applyFont="1" applyFill="1" applyBorder="1" applyAlignment="1">
      <alignment horizontal="left" vertical="center"/>
    </xf>
    <xf numFmtId="0" fontId="40" fillId="34" borderId="37" xfId="0" applyFont="1" applyFill="1" applyBorder="1" applyAlignment="1">
      <alignment horizontal="center" vertical="center"/>
    </xf>
    <xf numFmtId="0" fontId="40" fillId="34" borderId="17" xfId="0" applyFont="1" applyFill="1" applyBorder="1" applyAlignment="1">
      <alignment horizontal="center" vertical="center"/>
    </xf>
    <xf numFmtId="0" fontId="40" fillId="34" borderId="38" xfId="0" applyFont="1" applyFill="1" applyBorder="1" applyAlignment="1">
      <alignment horizontal="center" vertical="center"/>
    </xf>
    <xf numFmtId="0" fontId="8" fillId="34" borderId="95" xfId="0" applyFont="1" applyFill="1" applyBorder="1" applyAlignment="1">
      <alignment horizontal="right" vertical="center"/>
    </xf>
    <xf numFmtId="0" fontId="6" fillId="34" borderId="95" xfId="0" applyFont="1" applyFill="1" applyBorder="1" applyAlignment="1">
      <alignment horizontal="center" vertical="center"/>
    </xf>
    <xf numFmtId="0" fontId="6" fillId="0" borderId="42" xfId="0" applyFont="1" applyFill="1" applyBorder="1" applyAlignment="1">
      <alignment horizontal="left" vertical="center"/>
    </xf>
    <xf numFmtId="0" fontId="6" fillId="0" borderId="42" xfId="0" applyFont="1" applyFill="1" applyBorder="1" applyAlignment="1">
      <alignment vertical="center"/>
    </xf>
    <xf numFmtId="0" fontId="6" fillId="0" borderId="67" xfId="0" applyFont="1" applyFill="1" applyBorder="1" applyAlignment="1">
      <alignment vertical="center"/>
    </xf>
    <xf numFmtId="0" fontId="6" fillId="0" borderId="17" xfId="0" applyNumberFormat="1" applyFont="1" applyFill="1" applyBorder="1" applyAlignment="1">
      <alignment vertical="center"/>
    </xf>
    <xf numFmtId="0" fontId="6" fillId="0" borderId="36" xfId="0" applyFont="1" applyFill="1" applyBorder="1" applyAlignment="1">
      <alignment vertical="center"/>
    </xf>
    <xf numFmtId="0" fontId="6" fillId="0" borderId="36" xfId="0" applyNumberFormat="1" applyFont="1" applyFill="1" applyBorder="1" applyAlignment="1">
      <alignment vertical="center"/>
    </xf>
    <xf numFmtId="0" fontId="6" fillId="0" borderId="54" xfId="0" applyNumberFormat="1" applyFont="1" applyFill="1" applyBorder="1" applyAlignment="1">
      <alignment vertical="center"/>
    </xf>
    <xf numFmtId="0" fontId="6" fillId="0" borderId="67" xfId="0" applyFont="1" applyFill="1" applyBorder="1" applyAlignment="1">
      <alignment horizontal="left" vertical="center"/>
    </xf>
    <xf numFmtId="0" fontId="6" fillId="0" borderId="17" xfId="0" applyFont="1" applyFill="1" applyBorder="1" applyAlignment="1">
      <alignment horizontal="left" vertical="center"/>
    </xf>
    <xf numFmtId="11" fontId="6" fillId="34" borderId="95" xfId="0" applyNumberFormat="1" applyFont="1" applyFill="1" applyBorder="1" applyAlignment="1">
      <alignment horizontal="left" vertical="center"/>
    </xf>
    <xf numFmtId="0" fontId="27" fillId="0" borderId="0" xfId="0" applyNumberFormat="1" applyFont="1" applyFill="1" applyBorder="1" applyAlignment="1">
      <alignment horizontal="center" vertical="center"/>
    </xf>
    <xf numFmtId="168" fontId="20" fillId="0" borderId="0" xfId="0" applyNumberFormat="1" applyFont="1" applyFill="1" applyBorder="1" applyAlignment="1" applyProtection="1">
      <alignment horizontal="center" vertical="center"/>
      <protection/>
    </xf>
    <xf numFmtId="0" fontId="19" fillId="0" borderId="0" xfId="61" applyNumberFormat="1" applyFont="1" applyFill="1" applyBorder="1" applyAlignment="1">
      <alignment horizontal="center" vertical="center"/>
    </xf>
    <xf numFmtId="11" fontId="19" fillId="0" borderId="0" xfId="61" applyNumberFormat="1" applyFont="1" applyFill="1" applyBorder="1" applyAlignment="1">
      <alignment horizontal="center" vertical="center"/>
    </xf>
    <xf numFmtId="11" fontId="95" fillId="0" borderId="0" xfId="61" applyNumberFormat="1" applyFont="1" applyFill="1" applyBorder="1" applyAlignment="1">
      <alignment horizontal="center" vertical="center"/>
    </xf>
    <xf numFmtId="0" fontId="126" fillId="34" borderId="17" xfId="0" applyFont="1" applyFill="1" applyBorder="1" applyAlignment="1">
      <alignment vertical="center"/>
    </xf>
    <xf numFmtId="0" fontId="126" fillId="34" borderId="12" xfId="0" applyFont="1" applyFill="1" applyBorder="1" applyAlignment="1">
      <alignment vertical="center"/>
    </xf>
    <xf numFmtId="0" fontId="126" fillId="34" borderId="37" xfId="0" applyFont="1" applyFill="1" applyBorder="1" applyAlignment="1">
      <alignment horizontal="left" vertical="center"/>
    </xf>
    <xf numFmtId="0" fontId="126" fillId="34" borderId="18" xfId="0" applyFont="1" applyFill="1" applyBorder="1" applyAlignment="1">
      <alignment vertical="center"/>
    </xf>
    <xf numFmtId="0" fontId="126" fillId="34" borderId="11" xfId="0" applyFont="1" applyFill="1" applyBorder="1" applyAlignment="1">
      <alignment horizontal="left" vertical="center"/>
    </xf>
    <xf numFmtId="0" fontId="126" fillId="34" borderId="13" xfId="0" applyFont="1" applyFill="1" applyBorder="1" applyAlignment="1">
      <alignment vertical="center"/>
    </xf>
    <xf numFmtId="11" fontId="6" fillId="34" borderId="16" xfId="0" applyNumberFormat="1" applyFont="1" applyFill="1" applyBorder="1" applyAlignment="1">
      <alignment horizontal="left" vertical="center"/>
    </xf>
    <xf numFmtId="0" fontId="8" fillId="34" borderId="0" xfId="0" applyFont="1" applyFill="1" applyBorder="1" applyAlignment="1">
      <alignment vertical="center"/>
    </xf>
    <xf numFmtId="0" fontId="6" fillId="34" borderId="32" xfId="0" applyFont="1" applyFill="1" applyBorder="1" applyAlignment="1">
      <alignment vertical="center"/>
    </xf>
    <xf numFmtId="0" fontId="6" fillId="34" borderId="32" xfId="0" applyFont="1" applyFill="1" applyBorder="1" applyAlignment="1">
      <alignment horizontal="right" vertical="center"/>
    </xf>
    <xf numFmtId="0" fontId="49" fillId="0" borderId="32"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49" fillId="0" borderId="32" xfId="0" applyNumberFormat="1" applyFont="1" applyFill="1" applyBorder="1" applyAlignment="1">
      <alignment vertical="center"/>
    </xf>
    <xf numFmtId="0" fontId="6" fillId="40" borderId="20" xfId="0" applyNumberFormat="1" applyFont="1" applyFill="1" applyBorder="1" applyAlignment="1" applyProtection="1">
      <alignment horizontal="center" vertical="center"/>
      <protection locked="0"/>
    </xf>
    <xf numFmtId="0" fontId="6" fillId="40" borderId="19" xfId="0" applyNumberFormat="1" applyFont="1" applyFill="1" applyBorder="1" applyAlignment="1" applyProtection="1">
      <alignment horizontal="center" vertical="center"/>
      <protection locked="0"/>
    </xf>
    <xf numFmtId="0" fontId="6" fillId="40" borderId="50" xfId="0" applyNumberFormat="1" applyFont="1" applyFill="1" applyBorder="1" applyAlignment="1" applyProtection="1">
      <alignment horizontal="center" vertical="center"/>
      <protection locked="0"/>
    </xf>
    <xf numFmtId="0" fontId="6" fillId="40" borderId="63" xfId="0" applyNumberFormat="1" applyFont="1" applyFill="1" applyBorder="1" applyAlignment="1" applyProtection="1">
      <alignment horizontal="center" vertical="center"/>
      <protection locked="0"/>
    </xf>
    <xf numFmtId="0" fontId="6" fillId="40" borderId="51" xfId="0" applyNumberFormat="1" applyFont="1" applyFill="1" applyBorder="1" applyAlignment="1" applyProtection="1">
      <alignment horizontal="center" vertical="center"/>
      <protection locked="0"/>
    </xf>
    <xf numFmtId="0" fontId="127" fillId="34" borderId="17" xfId="0" applyFont="1" applyFill="1" applyBorder="1" applyAlignment="1">
      <alignment vertical="center"/>
    </xf>
    <xf numFmtId="0" fontId="127" fillId="34" borderId="0" xfId="0" applyFont="1" applyFill="1" applyBorder="1" applyAlignment="1">
      <alignment horizontal="left" vertical="center"/>
    </xf>
    <xf numFmtId="0" fontId="6" fillId="38" borderId="93" xfId="0" applyFont="1" applyFill="1" applyBorder="1" applyAlignment="1">
      <alignment vertical="center"/>
    </xf>
    <xf numFmtId="0" fontId="6" fillId="38" borderId="106" xfId="0" applyFont="1" applyFill="1" applyBorder="1" applyAlignment="1">
      <alignment vertical="center"/>
    </xf>
    <xf numFmtId="0" fontId="48" fillId="38" borderId="106" xfId="0" applyFont="1" applyFill="1" applyBorder="1" applyAlignment="1">
      <alignment horizontal="center" vertical="center"/>
    </xf>
    <xf numFmtId="0" fontId="6" fillId="38" borderId="106" xfId="0" applyFont="1" applyFill="1" applyBorder="1" applyAlignment="1">
      <alignment horizontal="right" vertical="center"/>
    </xf>
    <xf numFmtId="0" fontId="6" fillId="38" borderId="115" xfId="0" applyFont="1" applyFill="1" applyBorder="1" applyAlignment="1">
      <alignment vertical="center"/>
    </xf>
    <xf numFmtId="11" fontId="6" fillId="34" borderId="101" xfId="0" applyNumberFormat="1" applyFont="1" applyFill="1" applyBorder="1" applyAlignment="1">
      <alignment horizontal="left" vertical="center"/>
    </xf>
    <xf numFmtId="0" fontId="128" fillId="34" borderId="0" xfId="0" applyFont="1" applyFill="1" applyBorder="1" applyAlignment="1">
      <alignment horizontal="left" vertical="center"/>
    </xf>
    <xf numFmtId="0" fontId="128" fillId="34" borderId="0" xfId="0" applyFont="1" applyFill="1" applyBorder="1" applyAlignment="1">
      <alignment vertical="center"/>
    </xf>
    <xf numFmtId="0" fontId="6" fillId="34" borderId="10" xfId="0" applyFont="1" applyFill="1" applyBorder="1" applyAlignment="1">
      <alignment horizontal="right" vertical="center"/>
    </xf>
    <xf numFmtId="0" fontId="6" fillId="34" borderId="25" xfId="0" applyFont="1" applyFill="1" applyBorder="1" applyAlignment="1">
      <alignment horizontal="right" vertical="center"/>
    </xf>
    <xf numFmtId="0" fontId="26" fillId="34" borderId="95" xfId="0" applyFont="1" applyFill="1" applyBorder="1" applyAlignment="1">
      <alignment horizontal="right" vertical="center"/>
    </xf>
    <xf numFmtId="0" fontId="6" fillId="40" borderId="62" xfId="0" applyNumberFormat="1" applyFont="1" applyFill="1" applyBorder="1" applyAlignment="1" applyProtection="1">
      <alignment horizontal="center" vertical="center"/>
      <protection locked="0"/>
    </xf>
    <xf numFmtId="0" fontId="26" fillId="34" borderId="95" xfId="0" applyNumberFormat="1" applyFont="1" applyFill="1" applyBorder="1" applyAlignment="1" applyProtection="1">
      <alignment horizontal="center" vertical="center"/>
      <protection/>
    </xf>
    <xf numFmtId="0" fontId="19" fillId="34" borderId="95" xfId="61" applyNumberFormat="1" applyFont="1" applyFill="1" applyBorder="1" applyAlignment="1">
      <alignment horizontal="center" vertical="center"/>
    </xf>
    <xf numFmtId="11" fontId="19" fillId="38" borderId="116" xfId="61" applyNumberFormat="1" applyFont="1" applyFill="1" applyBorder="1" applyAlignment="1">
      <alignment horizontal="center" vertical="center"/>
    </xf>
    <xf numFmtId="11" fontId="19" fillId="38" borderId="95" xfId="61" applyNumberFormat="1" applyFont="1" applyFill="1" applyBorder="1" applyAlignment="1">
      <alignment horizontal="center" vertical="center"/>
    </xf>
    <xf numFmtId="11" fontId="19" fillId="38" borderId="117" xfId="61" applyNumberFormat="1" applyFont="1" applyFill="1" applyBorder="1" applyAlignment="1">
      <alignment horizontal="center" vertical="center"/>
    </xf>
    <xf numFmtId="11" fontId="19" fillId="38" borderId="101" xfId="61" applyNumberFormat="1" applyFont="1" applyFill="1" applyBorder="1" applyAlignment="1">
      <alignment horizontal="center" vertical="center"/>
    </xf>
    <xf numFmtId="11" fontId="19" fillId="34" borderId="95" xfId="61" applyNumberFormat="1" applyFont="1" applyFill="1" applyBorder="1" applyAlignment="1">
      <alignment horizontal="center" vertical="center"/>
    </xf>
    <xf numFmtId="11" fontId="19" fillId="34" borderId="116" xfId="61" applyNumberFormat="1" applyFont="1" applyFill="1" applyBorder="1" applyAlignment="1">
      <alignment horizontal="center" vertical="center"/>
    </xf>
    <xf numFmtId="11" fontId="19" fillId="34" borderId="117" xfId="61" applyNumberFormat="1" applyFont="1" applyFill="1" applyBorder="1" applyAlignment="1">
      <alignment horizontal="center" vertical="center"/>
    </xf>
    <xf numFmtId="11" fontId="19" fillId="34" borderId="101" xfId="61" applyNumberFormat="1" applyFont="1" applyFill="1" applyBorder="1" applyAlignment="1">
      <alignment horizontal="center" vertical="center"/>
    </xf>
    <xf numFmtId="0" fontId="19" fillId="38" borderId="93" xfId="0" applyFont="1" applyFill="1" applyBorder="1" applyAlignment="1">
      <alignment vertical="center"/>
    </xf>
    <xf numFmtId="0" fontId="8" fillId="38" borderId="106" xfId="0" applyFont="1" applyFill="1" applyBorder="1" applyAlignment="1">
      <alignment horizontal="right" vertical="center"/>
    </xf>
    <xf numFmtId="0" fontId="6" fillId="38" borderId="115" xfId="0" applyFont="1" applyFill="1" applyBorder="1" applyAlignment="1">
      <alignment horizontal="left" vertical="center"/>
    </xf>
    <xf numFmtId="0" fontId="8" fillId="34" borderId="106" xfId="0" applyFont="1" applyFill="1" applyBorder="1" applyAlignment="1">
      <alignment horizontal="right" vertical="center"/>
    </xf>
    <xf numFmtId="0" fontId="6" fillId="34" borderId="115" xfId="0" applyFont="1" applyFill="1" applyBorder="1" applyAlignment="1">
      <alignment vertical="center"/>
    </xf>
    <xf numFmtId="11" fontId="6" fillId="0" borderId="23" xfId="0" applyNumberFormat="1" applyFont="1" applyFill="1" applyBorder="1" applyAlignment="1">
      <alignment/>
    </xf>
    <xf numFmtId="10" fontId="6" fillId="0" borderId="0" xfId="0" applyNumberFormat="1" applyFont="1" applyFill="1" applyBorder="1" applyAlignment="1">
      <alignment/>
    </xf>
    <xf numFmtId="0" fontId="26" fillId="34" borderId="0" xfId="0" applyFont="1" applyFill="1" applyBorder="1" applyAlignment="1" applyProtection="1">
      <alignment horizontal="center" vertical="center" wrapText="1"/>
      <protection/>
    </xf>
    <xf numFmtId="0" fontId="26" fillId="34" borderId="12" xfId="0" applyFont="1" applyFill="1" applyBorder="1" applyAlignment="1" applyProtection="1">
      <alignment horizontal="center" vertical="center" wrapText="1"/>
      <protection/>
    </xf>
    <xf numFmtId="0" fontId="26" fillId="34" borderId="15" xfId="0" applyFont="1" applyFill="1" applyBorder="1" applyAlignment="1" applyProtection="1">
      <alignment horizontal="center" vertical="center" wrapText="1"/>
      <protection/>
    </xf>
    <xf numFmtId="0" fontId="129" fillId="0" borderId="0" xfId="0" applyNumberFormat="1" applyFont="1" applyFill="1" applyBorder="1" applyAlignment="1">
      <alignment horizontal="left"/>
    </xf>
    <xf numFmtId="0" fontId="127" fillId="0" borderId="0" xfId="0" applyNumberFormat="1" applyFont="1" applyFill="1" applyBorder="1" applyAlignment="1">
      <alignment horizontal="center"/>
    </xf>
    <xf numFmtId="0" fontId="18" fillId="0" borderId="34" xfId="0" applyFont="1" applyFill="1" applyBorder="1" applyAlignment="1">
      <alignment vertical="center"/>
    </xf>
    <xf numFmtId="0" fontId="98" fillId="0" borderId="34" xfId="0" applyNumberFormat="1" applyFont="1" applyFill="1" applyBorder="1" applyAlignment="1" applyProtection="1">
      <alignment horizontal="left"/>
      <protection/>
    </xf>
    <xf numFmtId="0" fontId="112" fillId="34" borderId="0" xfId="0" applyFont="1" applyFill="1" applyBorder="1" applyAlignment="1" applyProtection="1">
      <alignment horizontal="center" vertical="center" wrapText="1"/>
      <protection/>
    </xf>
    <xf numFmtId="0" fontId="26" fillId="34" borderId="12" xfId="0" applyFont="1" applyFill="1" applyBorder="1" applyAlignment="1" applyProtection="1">
      <alignment horizontal="center" vertical="center"/>
      <protection/>
    </xf>
    <xf numFmtId="0" fontId="26" fillId="34" borderId="43" xfId="0" applyFont="1" applyFill="1" applyBorder="1" applyAlignment="1" applyProtection="1">
      <alignment horizontal="center" vertical="center"/>
      <protection/>
    </xf>
    <xf numFmtId="0" fontId="26" fillId="34" borderId="15" xfId="0" applyFont="1" applyFill="1" applyBorder="1" applyAlignment="1" applyProtection="1">
      <alignment horizontal="center" vertical="center"/>
      <protection/>
    </xf>
    <xf numFmtId="11" fontId="26" fillId="34" borderId="0" xfId="0" applyNumberFormat="1" applyFont="1" applyFill="1" applyBorder="1" applyAlignment="1" applyProtection="1">
      <alignment horizontal="center" vertical="center"/>
      <protection/>
    </xf>
    <xf numFmtId="11" fontId="26" fillId="34" borderId="44" xfId="0" applyNumberFormat="1" applyFont="1" applyFill="1" applyBorder="1" applyAlignment="1" applyProtection="1">
      <alignment horizontal="center" vertical="center"/>
      <protection/>
    </xf>
    <xf numFmtId="11" fontId="26" fillId="34" borderId="16" xfId="61" applyNumberFormat="1" applyFont="1" applyFill="1" applyBorder="1" applyAlignment="1" applyProtection="1">
      <alignment horizontal="center" vertical="center"/>
      <protection/>
    </xf>
    <xf numFmtId="11" fontId="26" fillId="34" borderId="23" xfId="0" applyNumberFormat="1" applyFont="1" applyFill="1" applyBorder="1" applyAlignment="1" applyProtection="1">
      <alignment horizontal="center" vertical="center"/>
      <protection/>
    </xf>
    <xf numFmtId="11" fontId="26" fillId="34" borderId="63" xfId="0" applyNumberFormat="1" applyFont="1" applyFill="1" applyBorder="1" applyAlignment="1" applyProtection="1">
      <alignment horizontal="center" vertical="center"/>
      <protection/>
    </xf>
    <xf numFmtId="11" fontId="26" fillId="34" borderId="24" xfId="61" applyNumberFormat="1" applyFont="1" applyFill="1" applyBorder="1" applyAlignment="1" applyProtection="1">
      <alignment horizontal="center" vertical="center"/>
      <protection/>
    </xf>
    <xf numFmtId="0" fontId="6" fillId="34" borderId="34"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0" fontId="6" fillId="34" borderId="23" xfId="0" applyFont="1" applyFill="1" applyBorder="1" applyAlignment="1">
      <alignment horizontal="right" vertical="center"/>
    </xf>
    <xf numFmtId="0" fontId="6" fillId="34" borderId="32" xfId="0" applyNumberFormat="1" applyFont="1" applyFill="1" applyBorder="1" applyAlignment="1" applyProtection="1">
      <alignment horizontal="center" vertical="center"/>
      <protection locked="0"/>
    </xf>
    <xf numFmtId="2" fontId="26" fillId="34" borderId="0" xfId="0" applyNumberFormat="1" applyFont="1" applyFill="1" applyBorder="1" applyAlignment="1">
      <alignment horizontal="center" vertical="center"/>
    </xf>
    <xf numFmtId="0" fontId="42" fillId="34" borderId="0" xfId="0" applyFont="1" applyFill="1" applyBorder="1" applyAlignment="1" applyProtection="1">
      <alignment vertical="center"/>
      <protection/>
    </xf>
    <xf numFmtId="0" fontId="42" fillId="34" borderId="17" xfId="0" applyFont="1" applyFill="1" applyBorder="1" applyAlignment="1" applyProtection="1">
      <alignment vertical="center"/>
      <protection/>
    </xf>
    <xf numFmtId="0" fontId="6" fillId="34" borderId="17" xfId="0" applyFont="1" applyFill="1" applyBorder="1" applyAlignment="1" applyProtection="1">
      <alignment vertical="center"/>
      <protection/>
    </xf>
    <xf numFmtId="15" fontId="6" fillId="34" borderId="0" xfId="0" applyNumberFormat="1" applyFont="1" applyFill="1" applyBorder="1" applyAlignment="1" applyProtection="1">
      <alignment horizontal="left" vertical="center"/>
      <protection/>
    </xf>
    <xf numFmtId="0" fontId="6" fillId="34" borderId="17" xfId="0" applyFont="1" applyFill="1" applyBorder="1" applyAlignment="1" applyProtection="1">
      <alignment horizontal="right" vertical="center"/>
      <protection/>
    </xf>
    <xf numFmtId="15" fontId="6" fillId="34" borderId="17" xfId="0" applyNumberFormat="1" applyFont="1" applyFill="1" applyBorder="1" applyAlignment="1" applyProtection="1">
      <alignment horizontal="left" vertical="center"/>
      <protection/>
    </xf>
    <xf numFmtId="14" fontId="6" fillId="34" borderId="17" xfId="0" applyNumberFormat="1" applyFont="1" applyFill="1" applyBorder="1" applyAlignment="1" applyProtection="1">
      <alignment horizontal="left" vertical="center"/>
      <protection/>
    </xf>
    <xf numFmtId="0" fontId="49" fillId="34" borderId="17" xfId="0" applyFont="1" applyFill="1" applyBorder="1" applyAlignment="1" applyProtection="1">
      <alignment vertical="center"/>
      <protection/>
    </xf>
    <xf numFmtId="0" fontId="6" fillId="34" borderId="10" xfId="0" applyFont="1" applyFill="1" applyBorder="1" applyAlignment="1">
      <alignment vertical="center" wrapText="1"/>
    </xf>
    <xf numFmtId="2" fontId="26" fillId="34" borderId="16" xfId="0" applyNumberFormat="1" applyFont="1" applyFill="1" applyBorder="1" applyAlignment="1">
      <alignment horizontal="center" vertical="center"/>
    </xf>
    <xf numFmtId="0" fontId="6" fillId="34" borderId="10" xfId="0" applyFont="1" applyFill="1" applyBorder="1" applyAlignment="1">
      <alignment horizontal="left" vertical="center"/>
    </xf>
    <xf numFmtId="0" fontId="97" fillId="34" borderId="10" xfId="0" applyFont="1" applyFill="1" applyBorder="1" applyAlignment="1" applyProtection="1">
      <alignment vertical="center"/>
      <protection/>
    </xf>
    <xf numFmtId="0" fontId="97" fillId="34" borderId="0" xfId="0" applyFont="1" applyFill="1" applyBorder="1" applyAlignment="1" applyProtection="1">
      <alignment vertical="center"/>
      <protection/>
    </xf>
    <xf numFmtId="0" fontId="97" fillId="34" borderId="16" xfId="0" applyFont="1" applyFill="1" applyBorder="1" applyAlignment="1" applyProtection="1">
      <alignment vertical="center"/>
      <protection/>
    </xf>
    <xf numFmtId="0" fontId="26" fillId="34" borderId="44" xfId="0" applyFont="1" applyFill="1" applyBorder="1" applyAlignment="1" applyProtection="1">
      <alignment vertical="center"/>
      <protection/>
    </xf>
    <xf numFmtId="0" fontId="26" fillId="34" borderId="16" xfId="0" applyFont="1" applyFill="1" applyBorder="1" applyAlignment="1" applyProtection="1">
      <alignment vertical="center"/>
      <protection/>
    </xf>
    <xf numFmtId="169" fontId="26" fillId="34" borderId="16" xfId="0" applyNumberFormat="1" applyFont="1" applyFill="1" applyBorder="1" applyAlignment="1" applyProtection="1">
      <alignment horizontal="center" vertical="center"/>
      <protection/>
    </xf>
    <xf numFmtId="169" fontId="6" fillId="34" borderId="0" xfId="0" applyNumberFormat="1" applyFont="1" applyFill="1" applyBorder="1" applyAlignment="1">
      <alignment horizontal="center" vertical="center"/>
    </xf>
    <xf numFmtId="0" fontId="6" fillId="34" borderId="25" xfId="0" applyFont="1" applyFill="1" applyBorder="1" applyAlignment="1">
      <alignment vertical="center"/>
    </xf>
    <xf numFmtId="2" fontId="26" fillId="34" borderId="24" xfId="0" applyNumberFormat="1" applyFont="1" applyFill="1" applyBorder="1" applyAlignment="1">
      <alignment horizontal="center" vertical="center"/>
    </xf>
    <xf numFmtId="0" fontId="40" fillId="34" borderId="0" xfId="0" applyFont="1" applyFill="1" applyBorder="1" applyAlignment="1">
      <alignment horizontal="left" vertical="center"/>
    </xf>
    <xf numFmtId="0" fontId="26" fillId="34" borderId="17" xfId="0" applyNumberFormat="1" applyFont="1" applyFill="1" applyBorder="1" applyAlignment="1" applyProtection="1">
      <alignment horizontal="center" vertical="center"/>
      <protection/>
    </xf>
    <xf numFmtId="0" fontId="26" fillId="34" borderId="38" xfId="0" applyNumberFormat="1" applyFont="1" applyFill="1" applyBorder="1" applyAlignment="1" applyProtection="1">
      <alignment horizontal="center" vertical="center"/>
      <protection/>
    </xf>
    <xf numFmtId="11" fontId="26" fillId="34" borderId="37" xfId="0" applyNumberFormat="1" applyFont="1" applyFill="1" applyBorder="1" applyAlignment="1" applyProtection="1">
      <alignment horizontal="center" vertical="center"/>
      <protection/>
    </xf>
    <xf numFmtId="11" fontId="26" fillId="34" borderId="19" xfId="0" applyNumberFormat="1" applyFont="1" applyFill="1" applyBorder="1" applyAlignment="1" applyProtection="1">
      <alignment horizontal="center" vertical="center"/>
      <protection/>
    </xf>
    <xf numFmtId="11" fontId="26" fillId="34" borderId="17" xfId="0" applyNumberFormat="1" applyFont="1" applyFill="1" applyBorder="1" applyAlignment="1" applyProtection="1">
      <alignment horizontal="center" vertical="center"/>
      <protection/>
    </xf>
    <xf numFmtId="169" fontId="26" fillId="34" borderId="38" xfId="0" applyNumberFormat="1" applyFont="1" applyFill="1" applyBorder="1" applyAlignment="1" applyProtection="1">
      <alignment horizontal="center" vertical="center"/>
      <protection/>
    </xf>
    <xf numFmtId="2" fontId="26" fillId="34" borderId="35" xfId="0" applyNumberFormat="1" applyFont="1" applyFill="1" applyBorder="1" applyAlignment="1">
      <alignment horizontal="center" vertical="center"/>
    </xf>
    <xf numFmtId="169" fontId="43" fillId="34" borderId="16" xfId="0" applyNumberFormat="1" applyFont="1" applyFill="1" applyBorder="1" applyAlignment="1" applyProtection="1">
      <alignment horizontal="center" vertical="center"/>
      <protection/>
    </xf>
    <xf numFmtId="169" fontId="48" fillId="34" borderId="0" xfId="0" applyNumberFormat="1" applyFont="1" applyFill="1" applyBorder="1" applyAlignment="1">
      <alignment horizontal="center" vertical="center"/>
    </xf>
    <xf numFmtId="2" fontId="26" fillId="34" borderId="92" xfId="0" applyNumberFormat="1" applyFont="1" applyFill="1" applyBorder="1" applyAlignment="1">
      <alignment horizontal="center" vertical="center"/>
    </xf>
    <xf numFmtId="169" fontId="43" fillId="34" borderId="24" xfId="0" applyNumberFormat="1" applyFont="1" applyFill="1" applyBorder="1" applyAlignment="1" applyProtection="1">
      <alignment horizontal="center" vertical="center"/>
      <protection/>
    </xf>
    <xf numFmtId="0" fontId="127" fillId="34" borderId="16" xfId="61" applyNumberFormat="1" applyFont="1" applyFill="1" applyBorder="1" applyAlignment="1">
      <alignment horizontal="center" vertical="center"/>
    </xf>
    <xf numFmtId="0" fontId="125" fillId="34" borderId="16" xfId="61" applyNumberFormat="1" applyFont="1" applyFill="1" applyBorder="1" applyAlignment="1">
      <alignment horizontal="center" vertical="center"/>
    </xf>
    <xf numFmtId="164" fontId="26" fillId="34" borderId="16" xfId="0" applyNumberFormat="1" applyFont="1" applyFill="1" applyBorder="1" applyAlignment="1" applyProtection="1">
      <alignment horizontal="center" vertical="center"/>
      <protection/>
    </xf>
    <xf numFmtId="0" fontId="53" fillId="34" borderId="0" xfId="0" applyFont="1" applyFill="1" applyBorder="1" applyAlignment="1">
      <alignment horizontal="left" vertical="center"/>
    </xf>
    <xf numFmtId="0" fontId="19" fillId="34" borderId="10" xfId="0" applyFont="1" applyFill="1" applyBorder="1" applyAlignment="1">
      <alignment horizontal="right" vertical="center"/>
    </xf>
    <xf numFmtId="10" fontId="19" fillId="34" borderId="0" xfId="61" applyNumberFormat="1" applyFont="1" applyFill="1" applyBorder="1" applyAlignment="1">
      <alignment horizontal="left" vertical="center"/>
    </xf>
    <xf numFmtId="10" fontId="19" fillId="34" borderId="0" xfId="61" applyNumberFormat="1" applyFont="1" applyFill="1" applyBorder="1" applyAlignment="1">
      <alignment horizontal="right" vertical="center"/>
    </xf>
    <xf numFmtId="10" fontId="19" fillId="34" borderId="16" xfId="61" applyNumberFormat="1" applyFont="1" applyFill="1" applyBorder="1" applyAlignment="1">
      <alignment horizontal="left" vertical="center"/>
    </xf>
    <xf numFmtId="0" fontId="27" fillId="34" borderId="28" xfId="0" applyFont="1" applyFill="1" applyBorder="1" applyAlignment="1" applyProtection="1">
      <alignment horizontal="center" vertical="center"/>
      <protection/>
    </xf>
    <xf numFmtId="0" fontId="26" fillId="34" borderId="31" xfId="0" applyNumberFormat="1" applyFont="1" applyFill="1" applyBorder="1" applyAlignment="1" applyProtection="1">
      <alignment horizontal="center" vertical="center"/>
      <protection/>
    </xf>
    <xf numFmtId="11" fontId="26" fillId="34" borderId="29" xfId="0" applyNumberFormat="1" applyFont="1" applyFill="1" applyBorder="1" applyAlignment="1" applyProtection="1">
      <alignment horizontal="center" vertical="center"/>
      <protection/>
    </xf>
    <xf numFmtId="11" fontId="26" fillId="34" borderId="78" xfId="0" applyNumberFormat="1" applyFont="1" applyFill="1" applyBorder="1" applyAlignment="1" applyProtection="1">
      <alignment horizontal="center" vertical="center"/>
      <protection/>
    </xf>
    <xf numFmtId="11" fontId="26" fillId="34" borderId="31" xfId="61" applyNumberFormat="1" applyFont="1" applyFill="1" applyBorder="1" applyAlignment="1" applyProtection="1">
      <alignment horizontal="center" vertical="center"/>
      <protection/>
    </xf>
    <xf numFmtId="0" fontId="48" fillId="34" borderId="0" xfId="0" applyNumberFormat="1" applyFont="1" applyFill="1" applyBorder="1" applyAlignment="1">
      <alignment horizontal="center" vertical="center"/>
    </xf>
    <xf numFmtId="0" fontId="6" fillId="34" borderId="118" xfId="0" applyFont="1" applyFill="1" applyBorder="1" applyAlignment="1">
      <alignment horizontal="center" vertical="center"/>
    </xf>
    <xf numFmtId="0" fontId="6" fillId="34" borderId="119" xfId="0" applyFont="1" applyFill="1" applyBorder="1" applyAlignment="1">
      <alignment horizontal="center" vertical="center"/>
    </xf>
    <xf numFmtId="165" fontId="6" fillId="34" borderId="119" xfId="0" applyNumberFormat="1" applyFont="1" applyFill="1" applyBorder="1" applyAlignment="1">
      <alignment horizontal="center" vertical="center"/>
    </xf>
    <xf numFmtId="0" fontId="6" fillId="34" borderId="120" xfId="0" applyFont="1" applyFill="1" applyBorder="1" applyAlignment="1">
      <alignment horizontal="center" vertical="center"/>
    </xf>
    <xf numFmtId="2" fontId="6" fillId="34" borderId="16" xfId="0" applyNumberFormat="1" applyFont="1" applyFill="1" applyBorder="1" applyAlignment="1">
      <alignment horizontal="center" vertical="center"/>
    </xf>
    <xf numFmtId="2" fontId="6" fillId="34" borderId="24" xfId="0" applyNumberFormat="1" applyFont="1" applyFill="1" applyBorder="1" applyAlignment="1">
      <alignment horizontal="center" vertical="center"/>
    </xf>
    <xf numFmtId="0" fontId="6" fillId="0" borderId="66" xfId="0" applyFont="1" applyFill="1" applyBorder="1" applyAlignment="1">
      <alignment/>
    </xf>
    <xf numFmtId="0" fontId="26" fillId="0" borderId="68" xfId="0" applyFont="1" applyFill="1" applyBorder="1" applyAlignment="1">
      <alignment/>
    </xf>
    <xf numFmtId="0" fontId="6" fillId="0" borderId="26" xfId="0" applyFont="1" applyFill="1" applyBorder="1" applyAlignment="1">
      <alignment/>
    </xf>
    <xf numFmtId="0" fontId="19" fillId="0" borderId="42" xfId="0" applyFont="1" applyFill="1" applyBorder="1" applyAlignment="1">
      <alignment horizontal="right"/>
    </xf>
    <xf numFmtId="10" fontId="6" fillId="0" borderId="14" xfId="0" applyNumberFormat="1" applyFont="1" applyFill="1" applyBorder="1" applyAlignment="1">
      <alignment/>
    </xf>
    <xf numFmtId="0" fontId="19" fillId="0" borderId="67" xfId="0" applyFont="1" applyFill="1" applyBorder="1" applyAlignment="1">
      <alignment horizontal="right"/>
    </xf>
    <xf numFmtId="10" fontId="6" fillId="0" borderId="17" xfId="0" applyNumberFormat="1" applyFont="1" applyFill="1" applyBorder="1" applyAlignment="1">
      <alignment/>
    </xf>
    <xf numFmtId="10" fontId="19" fillId="0" borderId="17" xfId="61" applyNumberFormat="1" applyFont="1" applyFill="1" applyBorder="1" applyAlignment="1">
      <alignment horizontal="right"/>
    </xf>
    <xf numFmtId="0" fontId="6" fillId="0" borderId="18" xfId="0" applyFont="1" applyFill="1" applyBorder="1" applyAlignment="1">
      <alignment/>
    </xf>
    <xf numFmtId="0" fontId="127" fillId="34" borderId="0" xfId="0" applyFont="1" applyFill="1" applyBorder="1" applyAlignment="1">
      <alignment horizontal="center" vertical="center"/>
    </xf>
    <xf numFmtId="0" fontId="130" fillId="34" borderId="0" xfId="0" applyFont="1" applyFill="1" applyBorder="1" applyAlignment="1">
      <alignment horizontal="center" vertical="center"/>
    </xf>
    <xf numFmtId="0" fontId="127" fillId="34" borderId="23" xfId="0" applyFont="1" applyFill="1" applyBorder="1" applyAlignment="1">
      <alignment horizontal="center" vertical="center"/>
    </xf>
    <xf numFmtId="0" fontId="26" fillId="34" borderId="94" xfId="0" applyFont="1" applyFill="1" applyBorder="1" applyAlignment="1">
      <alignment vertical="center"/>
    </xf>
    <xf numFmtId="0" fontId="19" fillId="34" borderId="94" xfId="0" applyFont="1" applyFill="1" applyBorder="1" applyAlignment="1">
      <alignment horizontal="right" vertical="center"/>
    </xf>
    <xf numFmtId="10" fontId="19" fillId="34" borderId="95" xfId="61" applyNumberFormat="1" applyFont="1" applyFill="1" applyBorder="1" applyAlignment="1">
      <alignment horizontal="left" vertical="center"/>
    </xf>
    <xf numFmtId="10" fontId="19" fillId="34" borderId="95" xfId="61" applyNumberFormat="1" applyFont="1" applyFill="1" applyBorder="1" applyAlignment="1">
      <alignment horizontal="right" vertical="center"/>
    </xf>
    <xf numFmtId="10" fontId="19" fillId="34" borderId="101" xfId="61" applyNumberFormat="1" applyFont="1" applyFill="1" applyBorder="1" applyAlignment="1">
      <alignment horizontal="left" vertical="center"/>
    </xf>
    <xf numFmtId="0" fontId="43" fillId="34" borderId="121" xfId="0" applyFont="1" applyFill="1" applyBorder="1" applyAlignment="1">
      <alignment horizontal="left" vertical="center"/>
    </xf>
    <xf numFmtId="10" fontId="26" fillId="34" borderId="122" xfId="61" applyNumberFormat="1" applyFont="1" applyFill="1" applyBorder="1" applyAlignment="1">
      <alignment horizontal="left" vertical="center"/>
    </xf>
    <xf numFmtId="10" fontId="26" fillId="34" borderId="123" xfId="61" applyNumberFormat="1" applyFont="1" applyFill="1" applyBorder="1" applyAlignment="1">
      <alignment horizontal="left" vertical="center"/>
    </xf>
    <xf numFmtId="0" fontId="17" fillId="0" borderId="124" xfId="0" applyFont="1" applyFill="1" applyBorder="1" applyAlignment="1">
      <alignment/>
    </xf>
    <xf numFmtId="0" fontId="17" fillId="0" borderId="35" xfId="0" applyFont="1" applyFill="1" applyBorder="1" applyAlignment="1">
      <alignment horizontal="left"/>
    </xf>
    <xf numFmtId="0" fontId="17" fillId="0" borderId="22" xfId="0" applyFont="1" applyFill="1" applyBorder="1" applyAlignment="1">
      <alignment/>
    </xf>
    <xf numFmtId="0" fontId="17" fillId="0" borderId="16" xfId="0" applyFont="1" applyFill="1" applyBorder="1" applyAlignment="1">
      <alignment horizontal="center"/>
    </xf>
    <xf numFmtId="174" fontId="0" fillId="0" borderId="0" xfId="0" applyNumberFormat="1" applyFill="1" applyBorder="1" applyAlignment="1">
      <alignment/>
    </xf>
    <xf numFmtId="166" fontId="8" fillId="0" borderId="20" xfId="0" applyNumberFormat="1" applyFont="1" applyFill="1" applyBorder="1" applyAlignment="1">
      <alignment horizontal="left"/>
    </xf>
    <xf numFmtId="166" fontId="0" fillId="0" borderId="0" xfId="0" applyNumberFormat="1" applyFill="1" applyAlignment="1">
      <alignment horizontal="center"/>
    </xf>
    <xf numFmtId="11" fontId="0" fillId="0" borderId="0" xfId="0" applyNumberFormat="1" applyFill="1" applyAlignment="1">
      <alignment/>
    </xf>
    <xf numFmtId="0" fontId="6" fillId="34" borderId="99" xfId="0" applyFont="1" applyFill="1" applyBorder="1" applyAlignment="1" applyProtection="1">
      <alignment horizontal="center" vertical="center"/>
      <protection locked="0"/>
    </xf>
    <xf numFmtId="0" fontId="6" fillId="34" borderId="17" xfId="0" applyFont="1" applyFill="1" applyBorder="1" applyAlignment="1">
      <alignment horizontal="center" vertical="center" wrapText="1"/>
    </xf>
    <xf numFmtId="0" fontId="0" fillId="34" borderId="0" xfId="0" applyFill="1" applyBorder="1" applyAlignment="1">
      <alignment vertical="center"/>
    </xf>
    <xf numFmtId="0" fontId="8" fillId="34" borderId="87" xfId="0" applyFont="1" applyFill="1" applyBorder="1" applyAlignment="1">
      <alignment horizontal="center" vertical="center"/>
    </xf>
    <xf numFmtId="0" fontId="1" fillId="34" borderId="0" xfId="0" applyFont="1" applyFill="1" applyBorder="1" applyAlignment="1">
      <alignment vertical="center"/>
    </xf>
    <xf numFmtId="0" fontId="1" fillId="39" borderId="0" xfId="0" applyFont="1" applyFill="1" applyBorder="1" applyAlignment="1">
      <alignment vertical="center"/>
    </xf>
    <xf numFmtId="0" fontId="6" fillId="39" borderId="0" xfId="0" applyFont="1" applyFill="1" applyAlignment="1">
      <alignment vertical="center"/>
    </xf>
    <xf numFmtId="0" fontId="61" fillId="34" borderId="17" xfId="0" applyFont="1" applyFill="1" applyBorder="1" applyAlignment="1">
      <alignment horizontal="left" vertical="center"/>
    </xf>
    <xf numFmtId="0" fontId="13" fillId="34" borderId="0" xfId="0" applyFont="1" applyFill="1" applyBorder="1" applyAlignment="1">
      <alignment vertical="center"/>
    </xf>
    <xf numFmtId="0" fontId="1" fillId="34" borderId="0" xfId="0" applyFont="1" applyFill="1" applyBorder="1" applyAlignment="1">
      <alignment vertical="center"/>
    </xf>
    <xf numFmtId="0" fontId="68" fillId="34" borderId="0" xfId="0" applyFont="1" applyFill="1" applyBorder="1" applyAlignment="1">
      <alignment horizontal="left" vertical="center"/>
    </xf>
    <xf numFmtId="0" fontId="8" fillId="39" borderId="23" xfId="0" applyFont="1" applyFill="1" applyBorder="1" applyAlignment="1">
      <alignment vertical="center"/>
    </xf>
    <xf numFmtId="0" fontId="61" fillId="34" borderId="125" xfId="0" applyFont="1" applyFill="1" applyBorder="1" applyAlignment="1">
      <alignment vertical="center"/>
    </xf>
    <xf numFmtId="0" fontId="7" fillId="34" borderId="99" xfId="0" applyFont="1" applyFill="1" applyBorder="1" applyAlignment="1">
      <alignment vertical="center"/>
    </xf>
    <xf numFmtId="0" fontId="6" fillId="34" borderId="99" xfId="0" applyFont="1" applyFill="1" applyBorder="1" applyAlignment="1">
      <alignment vertical="center"/>
    </xf>
    <xf numFmtId="0" fontId="6" fillId="34" borderId="126" xfId="0" applyFont="1" applyFill="1" applyBorder="1" applyAlignment="1">
      <alignment vertical="center"/>
    </xf>
    <xf numFmtId="0" fontId="6" fillId="39" borderId="0" xfId="0" applyFont="1" applyFill="1" applyBorder="1" applyAlignment="1">
      <alignment horizontal="right" vertical="center"/>
    </xf>
    <xf numFmtId="14" fontId="49" fillId="39" borderId="0" xfId="0" applyNumberFormat="1" applyFont="1" applyFill="1" applyAlignment="1">
      <alignment horizontal="left" vertical="center"/>
    </xf>
    <xf numFmtId="0" fontId="26" fillId="34" borderId="127" xfId="0" applyFont="1" applyFill="1" applyBorder="1" applyAlignment="1">
      <alignment horizontal="center" vertical="center" wrapText="1"/>
    </xf>
    <xf numFmtId="0" fontId="19" fillId="34" borderId="128"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49" fillId="39" borderId="0" xfId="0" applyFont="1" applyFill="1" applyAlignment="1">
      <alignment horizontal="left" vertical="center"/>
    </xf>
    <xf numFmtId="0" fontId="19" fillId="34" borderId="17" xfId="0" applyFont="1" applyFill="1" applyBorder="1" applyAlignment="1">
      <alignment horizontal="center" vertical="center" wrapText="1"/>
    </xf>
    <xf numFmtId="0" fontId="19" fillId="34" borderId="129" xfId="0" applyFont="1" applyFill="1" applyBorder="1" applyAlignment="1">
      <alignment horizontal="center" vertical="center" wrapText="1"/>
    </xf>
    <xf numFmtId="0" fontId="26" fillId="34" borderId="0" xfId="0" applyFont="1" applyFill="1" applyBorder="1" applyAlignment="1">
      <alignment vertical="center" wrapText="1"/>
    </xf>
    <xf numFmtId="0" fontId="31" fillId="34" borderId="0" xfId="0" applyFont="1" applyFill="1" applyBorder="1" applyAlignment="1">
      <alignment horizontal="left" vertical="center"/>
    </xf>
    <xf numFmtId="0" fontId="49" fillId="39" borderId="0" xfId="0" applyFont="1" applyFill="1" applyBorder="1" applyAlignment="1">
      <alignment horizontal="left" vertical="center"/>
    </xf>
    <xf numFmtId="0" fontId="26" fillId="34" borderId="130" xfId="0" applyFont="1" applyFill="1" applyBorder="1" applyAlignment="1">
      <alignment horizontal="center" vertical="center" wrapText="1"/>
    </xf>
    <xf numFmtId="0" fontId="26" fillId="34" borderId="129" xfId="0" applyFont="1" applyFill="1" applyBorder="1" applyAlignment="1">
      <alignment horizontal="center" vertical="center"/>
    </xf>
    <xf numFmtId="0" fontId="38" fillId="34" borderId="0" xfId="0" applyFont="1" applyFill="1" applyBorder="1" applyAlignment="1">
      <alignment horizontal="center" vertical="center"/>
    </xf>
    <xf numFmtId="0" fontId="49" fillId="39" borderId="0" xfId="0" applyFont="1" applyFill="1" applyBorder="1" applyAlignment="1">
      <alignment vertical="center"/>
    </xf>
    <xf numFmtId="0" fontId="6" fillId="39" borderId="23" xfId="0" applyFont="1" applyFill="1" applyBorder="1" applyAlignment="1">
      <alignment horizontal="right" vertical="center"/>
    </xf>
    <xf numFmtId="0" fontId="7" fillId="34" borderId="127" xfId="0" applyFont="1" applyFill="1" applyBorder="1" applyAlignment="1">
      <alignment vertical="center"/>
    </xf>
    <xf numFmtId="0" fontId="6" fillId="34" borderId="128" xfId="0" applyFont="1" applyFill="1" applyBorder="1" applyAlignment="1">
      <alignment vertical="center"/>
    </xf>
    <xf numFmtId="0" fontId="26" fillId="34" borderId="0" xfId="0" applyFont="1" applyFill="1" applyBorder="1" applyAlignment="1">
      <alignment horizontal="left" vertical="center"/>
    </xf>
    <xf numFmtId="0" fontId="6" fillId="39" borderId="0" xfId="0" applyFont="1" applyFill="1" applyAlignment="1">
      <alignment horizontal="right" vertical="center"/>
    </xf>
    <xf numFmtId="10" fontId="6" fillId="34" borderId="128" xfId="61" applyNumberFormat="1" applyFont="1" applyFill="1" applyBorder="1" applyAlignment="1">
      <alignment horizontal="center" vertical="center"/>
    </xf>
    <xf numFmtId="10" fontId="1" fillId="34" borderId="0" xfId="61" applyNumberFormat="1" applyFont="1" applyFill="1" applyBorder="1" applyAlignment="1">
      <alignment horizontal="center" vertical="center"/>
    </xf>
    <xf numFmtId="0" fontId="115" fillId="34" borderId="0" xfId="0" applyFont="1" applyFill="1" applyBorder="1" applyAlignment="1">
      <alignment vertical="center"/>
    </xf>
    <xf numFmtId="0" fontId="8" fillId="39" borderId="0" xfId="0" applyFont="1" applyFill="1" applyBorder="1" applyAlignment="1">
      <alignment horizontal="left" vertical="center"/>
    </xf>
    <xf numFmtId="0" fontId="31" fillId="39" borderId="0" xfId="0" applyFont="1" applyFill="1" applyBorder="1" applyAlignment="1">
      <alignment horizontal="left" vertical="center"/>
    </xf>
    <xf numFmtId="0" fontId="82" fillId="34" borderId="0" xfId="0" applyFont="1" applyFill="1" applyBorder="1" applyAlignment="1">
      <alignment vertical="center"/>
    </xf>
    <xf numFmtId="2" fontId="82" fillId="34" borderId="0" xfId="0" applyNumberFormat="1" applyFont="1" applyFill="1" applyBorder="1" applyAlignment="1">
      <alignment horizontal="left" vertical="center"/>
    </xf>
    <xf numFmtId="2" fontId="82" fillId="34" borderId="0" xfId="0" applyNumberFormat="1" applyFont="1" applyFill="1" applyBorder="1" applyAlignment="1" applyProtection="1">
      <alignment horizontal="center" vertical="center"/>
      <protection locked="0"/>
    </xf>
    <xf numFmtId="11" fontId="83" fillId="34" borderId="0" xfId="0" applyNumberFormat="1" applyFont="1" applyFill="1" applyBorder="1" applyAlignment="1" applyProtection="1">
      <alignment horizontal="center" vertical="center"/>
      <protection locked="0"/>
    </xf>
    <xf numFmtId="0" fontId="58" fillId="34" borderId="0" xfId="0" applyFont="1" applyFill="1" applyBorder="1" applyAlignment="1">
      <alignment vertical="center"/>
    </xf>
    <xf numFmtId="0" fontId="7" fillId="34" borderId="95" xfId="0" applyFont="1" applyFill="1" applyBorder="1" applyAlignment="1">
      <alignment vertical="center"/>
    </xf>
    <xf numFmtId="10" fontId="6" fillId="34" borderId="131" xfId="61" applyNumberFormat="1" applyFont="1" applyFill="1" applyBorder="1" applyAlignment="1">
      <alignment horizontal="center" vertical="center"/>
    </xf>
    <xf numFmtId="0" fontId="58" fillId="34" borderId="0" xfId="0" applyFont="1" applyFill="1" applyBorder="1" applyAlignment="1" applyProtection="1">
      <alignment horizontal="left" vertical="center"/>
      <protection hidden="1"/>
    </xf>
    <xf numFmtId="0" fontId="0" fillId="39" borderId="0" xfId="0" applyFill="1" applyAlignment="1" applyProtection="1">
      <alignment vertical="center" wrapText="1"/>
      <protection locked="0"/>
    </xf>
    <xf numFmtId="0" fontId="6" fillId="34" borderId="23" xfId="0" applyFont="1" applyFill="1" applyBorder="1" applyAlignment="1">
      <alignment vertical="center"/>
    </xf>
    <xf numFmtId="10" fontId="6" fillId="34" borderId="132" xfId="61" applyNumberFormat="1" applyFont="1" applyFill="1" applyBorder="1" applyAlignment="1">
      <alignment horizontal="center" vertical="center"/>
    </xf>
    <xf numFmtId="0" fontId="27" fillId="34" borderId="0" xfId="0" applyFont="1" applyFill="1" applyBorder="1" applyAlignment="1">
      <alignment horizontal="left" vertical="center"/>
    </xf>
    <xf numFmtId="166" fontId="27" fillId="39" borderId="0" xfId="0" applyNumberFormat="1" applyFont="1" applyFill="1" applyBorder="1" applyAlignment="1">
      <alignment horizontal="left" vertical="center"/>
    </xf>
    <xf numFmtId="166" fontId="27" fillId="34" borderId="0" xfId="0" applyNumberFormat="1" applyFont="1" applyFill="1" applyBorder="1" applyAlignment="1">
      <alignment horizontal="left" vertical="center"/>
    </xf>
    <xf numFmtId="0" fontId="27" fillId="39" borderId="0" xfId="0" applyFont="1" applyFill="1" applyBorder="1" applyAlignment="1">
      <alignment horizontal="left" vertical="center"/>
    </xf>
    <xf numFmtId="2" fontId="19" fillId="34" borderId="0" xfId="0" applyNumberFormat="1" applyFont="1" applyFill="1" applyBorder="1" applyAlignment="1">
      <alignment horizontal="left" vertical="center"/>
    </xf>
    <xf numFmtId="167" fontId="50" fillId="34" borderId="0" xfId="0" applyNumberFormat="1" applyFont="1" applyFill="1" applyBorder="1" applyAlignment="1">
      <alignment horizontal="left" vertical="center"/>
    </xf>
    <xf numFmtId="0" fontId="6" fillId="34" borderId="26" xfId="0" applyFont="1" applyFill="1" applyBorder="1" applyAlignment="1">
      <alignment vertical="center"/>
    </xf>
    <xf numFmtId="168" fontId="50" fillId="34" borderId="0" xfId="0" applyNumberFormat="1" applyFont="1" applyFill="1" applyBorder="1" applyAlignment="1">
      <alignment horizontal="left" vertical="center"/>
    </xf>
    <xf numFmtId="2" fontId="19" fillId="39" borderId="0" xfId="0" applyNumberFormat="1" applyFont="1" applyFill="1" applyBorder="1" applyAlignment="1">
      <alignment horizontal="left" vertical="center"/>
    </xf>
    <xf numFmtId="168" fontId="50" fillId="34" borderId="0" xfId="61" applyNumberFormat="1" applyFont="1" applyFill="1" applyBorder="1" applyAlignment="1">
      <alignment horizontal="left" vertical="center"/>
    </xf>
    <xf numFmtId="167" fontId="50" fillId="39" borderId="0" xfId="0" applyNumberFormat="1" applyFont="1" applyFill="1" applyBorder="1" applyAlignment="1">
      <alignment horizontal="left" vertical="center"/>
    </xf>
    <xf numFmtId="10" fontId="50" fillId="34" borderId="0" xfId="61" applyNumberFormat="1" applyFont="1" applyFill="1" applyBorder="1" applyAlignment="1">
      <alignment horizontal="left" vertical="center"/>
    </xf>
    <xf numFmtId="0" fontId="51" fillId="34" borderId="0" xfId="0" applyFont="1" applyFill="1" applyBorder="1" applyAlignment="1">
      <alignment horizontal="left" vertical="center"/>
    </xf>
    <xf numFmtId="0" fontId="52" fillId="34" borderId="0" xfId="0" applyFont="1" applyFill="1" applyBorder="1" applyAlignment="1">
      <alignment horizontal="left" vertical="center"/>
    </xf>
    <xf numFmtId="10" fontId="50" fillId="39" borderId="0" xfId="61" applyNumberFormat="1" applyFont="1" applyFill="1" applyBorder="1" applyAlignment="1">
      <alignment horizontal="left" vertical="center"/>
    </xf>
    <xf numFmtId="0" fontId="19" fillId="34" borderId="0" xfId="0" applyFont="1" applyFill="1" applyBorder="1" applyAlignment="1">
      <alignment horizontal="right" vertical="center"/>
    </xf>
    <xf numFmtId="0" fontId="51" fillId="39" borderId="0" xfId="0" applyFont="1" applyFill="1" applyBorder="1" applyAlignment="1">
      <alignment horizontal="left" vertical="center"/>
    </xf>
    <xf numFmtId="0" fontId="53" fillId="39" borderId="0" xfId="0" applyFont="1" applyFill="1" applyBorder="1" applyAlignment="1">
      <alignment horizontal="left" vertical="center"/>
    </xf>
    <xf numFmtId="0" fontId="47" fillId="34" borderId="0" xfId="0" applyFont="1" applyFill="1" applyBorder="1" applyAlignment="1">
      <alignment horizontal="left" vertical="center"/>
    </xf>
    <xf numFmtId="10" fontId="19" fillId="39" borderId="0" xfId="61" applyNumberFormat="1" applyFont="1" applyFill="1" applyBorder="1" applyAlignment="1">
      <alignment horizontal="left" vertical="center"/>
    </xf>
    <xf numFmtId="0" fontId="6" fillId="34" borderId="87" xfId="0" applyNumberFormat="1" applyFont="1" applyFill="1" applyBorder="1" applyAlignment="1">
      <alignment horizontal="center" vertical="center"/>
    </xf>
    <xf numFmtId="10" fontId="6" fillId="34" borderId="133" xfId="61" applyNumberFormat="1" applyFont="1" applyFill="1" applyBorder="1" applyAlignment="1">
      <alignment horizontal="center" vertical="center"/>
    </xf>
    <xf numFmtId="0" fontId="54" fillId="34" borderId="0" xfId="0" applyFont="1" applyFill="1" applyBorder="1" applyAlignment="1">
      <alignment vertical="center"/>
    </xf>
    <xf numFmtId="0" fontId="27" fillId="34" borderId="0" xfId="0" applyFont="1" applyFill="1" applyBorder="1" applyAlignment="1">
      <alignment horizontal="center" vertical="center"/>
    </xf>
    <xf numFmtId="0" fontId="55" fillId="34" borderId="127" xfId="0" applyFont="1" applyFill="1" applyBorder="1" applyAlignment="1">
      <alignment vertical="center"/>
    </xf>
    <xf numFmtId="0" fontId="55" fillId="34" borderId="0" xfId="0" applyFont="1" applyFill="1" applyBorder="1" applyAlignment="1">
      <alignment vertical="center"/>
    </xf>
    <xf numFmtId="0" fontId="60" fillId="34" borderId="0" xfId="0" applyFont="1" applyFill="1" applyBorder="1" applyAlignment="1">
      <alignment horizontal="right" vertical="center"/>
    </xf>
    <xf numFmtId="4" fontId="57" fillId="34" borderId="128" xfId="0" applyNumberFormat="1" applyFont="1" applyFill="1" applyBorder="1" applyAlignment="1">
      <alignment horizontal="left" vertical="center"/>
    </xf>
    <xf numFmtId="4" fontId="34" fillId="34" borderId="0" xfId="0" applyNumberFormat="1" applyFont="1" applyFill="1" applyBorder="1" applyAlignment="1">
      <alignment horizontal="left" vertical="center"/>
    </xf>
    <xf numFmtId="0" fontId="26" fillId="34" borderId="127" xfId="0" applyFont="1" applyFill="1" applyBorder="1" applyAlignment="1">
      <alignment vertical="center"/>
    </xf>
    <xf numFmtId="0" fontId="6" fillId="34" borderId="128" xfId="0" applyFont="1" applyFill="1" applyBorder="1" applyAlignment="1">
      <alignment horizontal="center" vertical="center"/>
    </xf>
    <xf numFmtId="0" fontId="27" fillId="39" borderId="0" xfId="0" applyFont="1" applyFill="1" applyBorder="1" applyAlignment="1">
      <alignment horizontal="center" vertical="center"/>
    </xf>
    <xf numFmtId="0" fontId="26" fillId="34" borderId="134" xfId="0" applyFont="1" applyFill="1" applyBorder="1" applyAlignment="1">
      <alignment vertical="center"/>
    </xf>
    <xf numFmtId="0" fontId="6" fillId="34" borderId="135" xfId="0" applyFont="1" applyFill="1" applyBorder="1" applyAlignment="1">
      <alignment horizontal="center" vertical="center"/>
    </xf>
    <xf numFmtId="0" fontId="6" fillId="34" borderId="126" xfId="0" applyFont="1" applyFill="1" applyBorder="1" applyAlignment="1">
      <alignment horizontal="center" vertical="center"/>
    </xf>
    <xf numFmtId="0" fontId="6" fillId="40" borderId="20" xfId="0" applyFont="1" applyFill="1" applyBorder="1" applyAlignment="1">
      <alignment horizontal="center" vertical="center"/>
    </xf>
    <xf numFmtId="0" fontId="6" fillId="34" borderId="135" xfId="0" applyFont="1" applyFill="1" applyBorder="1" applyAlignment="1">
      <alignment vertical="center"/>
    </xf>
    <xf numFmtId="182" fontId="8" fillId="39" borderId="23" xfId="0" applyNumberFormat="1" applyFont="1" applyFill="1" applyBorder="1" applyAlignment="1">
      <alignment horizontal="center" vertical="center"/>
    </xf>
    <xf numFmtId="11" fontId="6" fillId="39" borderId="74" xfId="0" applyNumberFormat="1" applyFont="1" applyFill="1" applyBorder="1" applyAlignment="1" applyProtection="1">
      <alignment horizontal="center" vertical="center"/>
      <protection locked="0"/>
    </xf>
    <xf numFmtId="11" fontId="6" fillId="39" borderId="18" xfId="0" applyNumberFormat="1" applyFont="1" applyFill="1" applyBorder="1" applyAlignment="1" applyProtection="1">
      <alignment horizontal="center" vertical="center"/>
      <protection locked="0"/>
    </xf>
    <xf numFmtId="11" fontId="6" fillId="39" borderId="54" xfId="0" applyNumberFormat="1" applyFont="1" applyFill="1" applyBorder="1" applyAlignment="1" applyProtection="1">
      <alignment horizontal="center" vertical="center"/>
      <protection locked="0"/>
    </xf>
    <xf numFmtId="11" fontId="6" fillId="39" borderId="26" xfId="0" applyNumberFormat="1" applyFont="1" applyFill="1" applyBorder="1" applyAlignment="1" applyProtection="1">
      <alignment horizontal="center" vertical="center"/>
      <protection locked="0"/>
    </xf>
    <xf numFmtId="0" fontId="1" fillId="0" borderId="0" xfId="0" applyFont="1" applyFill="1" applyBorder="1" applyAlignment="1">
      <alignment vertical="center"/>
    </xf>
    <xf numFmtId="0" fontId="19" fillId="39" borderId="0" xfId="0" applyFont="1" applyFill="1" applyBorder="1" applyAlignment="1">
      <alignment vertical="center"/>
    </xf>
    <xf numFmtId="0" fontId="6" fillId="0" borderId="10" xfId="0" applyFont="1" applyFill="1" applyBorder="1" applyAlignment="1">
      <alignment horizontal="right" vertical="center"/>
    </xf>
    <xf numFmtId="0" fontId="6" fillId="0" borderId="25" xfId="0" applyFont="1" applyFill="1" applyBorder="1" applyAlignment="1">
      <alignment horizontal="right" vertical="center"/>
    </xf>
    <xf numFmtId="0" fontId="6" fillId="34" borderId="136" xfId="0" applyFont="1" applyFill="1" applyBorder="1" applyAlignment="1">
      <alignment vertical="center"/>
    </xf>
    <xf numFmtId="0" fontId="6" fillId="34" borderId="107" xfId="0" applyFont="1" applyFill="1" applyBorder="1" applyAlignment="1">
      <alignment vertical="center"/>
    </xf>
    <xf numFmtId="0" fontId="6" fillId="34" borderId="137" xfId="0" applyFont="1" applyFill="1" applyBorder="1" applyAlignment="1">
      <alignment vertical="center"/>
    </xf>
    <xf numFmtId="0" fontId="6" fillId="34" borderId="109" xfId="0" applyFont="1" applyFill="1" applyBorder="1" applyAlignment="1">
      <alignment vertical="center"/>
    </xf>
    <xf numFmtId="0" fontId="26" fillId="34" borderId="107" xfId="0" applyFont="1" applyFill="1" applyBorder="1" applyAlignment="1">
      <alignment horizontal="center" vertical="center"/>
    </xf>
    <xf numFmtId="0" fontId="6" fillId="34" borderId="76" xfId="0" applyFont="1" applyFill="1" applyBorder="1" applyAlignment="1">
      <alignment vertical="center"/>
    </xf>
    <xf numFmtId="0" fontId="6" fillId="34" borderId="138" xfId="0" applyFont="1" applyFill="1" applyBorder="1" applyAlignment="1">
      <alignment horizontal="center" vertical="center"/>
    </xf>
    <xf numFmtId="0" fontId="55" fillId="34" borderId="95" xfId="0" applyFont="1" applyFill="1" applyBorder="1" applyAlignment="1">
      <alignment/>
    </xf>
    <xf numFmtId="168" fontId="6" fillId="34" borderId="16" xfId="0" applyNumberFormat="1" applyFont="1" applyFill="1" applyBorder="1" applyAlignment="1">
      <alignment horizontal="left"/>
    </xf>
    <xf numFmtId="166" fontId="6" fillId="34" borderId="16" xfId="0" applyNumberFormat="1" applyFont="1" applyFill="1" applyBorder="1" applyAlignment="1">
      <alignment horizontal="left"/>
    </xf>
    <xf numFmtId="166" fontId="6" fillId="34" borderId="38" xfId="0" applyNumberFormat="1" applyFont="1" applyFill="1" applyBorder="1" applyAlignment="1">
      <alignment horizontal="left"/>
    </xf>
    <xf numFmtId="0" fontId="26" fillId="34" borderId="29" xfId="0" applyNumberFormat="1" applyFont="1" applyFill="1" applyBorder="1" applyAlignment="1" applyProtection="1">
      <alignment horizontal="center" vertical="center"/>
      <protection/>
    </xf>
    <xf numFmtId="0" fontId="3" fillId="0" borderId="0" xfId="0" applyFont="1" applyFill="1" applyAlignment="1">
      <alignment/>
    </xf>
    <xf numFmtId="0" fontId="5" fillId="0" borderId="0" xfId="0" applyFont="1" applyFill="1" applyBorder="1" applyAlignment="1">
      <alignment/>
    </xf>
    <xf numFmtId="0" fontId="11" fillId="0" borderId="0" xfId="0" applyFont="1" applyFill="1" applyBorder="1" applyAlignment="1">
      <alignment/>
    </xf>
    <xf numFmtId="0" fontId="0" fillId="0" borderId="0" xfId="0" applyFill="1" applyBorder="1" applyAlignment="1">
      <alignment horizontal="right"/>
    </xf>
    <xf numFmtId="0" fontId="0" fillId="0" borderId="86" xfId="0" applyFill="1" applyBorder="1" applyAlignment="1">
      <alignment/>
    </xf>
    <xf numFmtId="0" fontId="0" fillId="0" borderId="87" xfId="0" applyFill="1" applyBorder="1" applyAlignment="1">
      <alignment/>
    </xf>
    <xf numFmtId="0" fontId="0" fillId="0" borderId="88"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1" xfId="0" applyFill="1" applyBorder="1" applyAlignment="1">
      <alignment/>
    </xf>
    <xf numFmtId="11" fontId="0" fillId="0" borderId="0" xfId="0" applyNumberFormat="1" applyFill="1" applyBorder="1" applyAlignment="1">
      <alignment horizontal="right"/>
    </xf>
    <xf numFmtId="170" fontId="0" fillId="0" borderId="0" xfId="0" applyNumberFormat="1" applyFill="1" applyBorder="1" applyAlignment="1">
      <alignment/>
    </xf>
    <xf numFmtId="43" fontId="0" fillId="0" borderId="0" xfId="0" applyNumberFormat="1" applyFill="1" applyBorder="1" applyAlignment="1">
      <alignment/>
    </xf>
    <xf numFmtId="11" fontId="0" fillId="0" borderId="29" xfId="0" applyNumberFormat="1" applyFill="1" applyBorder="1" applyAlignment="1">
      <alignment/>
    </xf>
    <xf numFmtId="171" fontId="0" fillId="0" borderId="54" xfId="0" applyNumberFormat="1" applyFill="1" applyBorder="1" applyAlignment="1">
      <alignment horizontal="right"/>
    </xf>
    <xf numFmtId="0" fontId="0" fillId="0" borderId="0" xfId="0" applyFill="1" applyBorder="1" applyAlignment="1">
      <alignment wrapText="1"/>
    </xf>
    <xf numFmtId="0" fontId="0" fillId="0" borderId="23" xfId="0" applyFill="1" applyBorder="1" applyAlignment="1">
      <alignment horizontal="center"/>
    </xf>
    <xf numFmtId="0" fontId="18" fillId="0" borderId="67" xfId="0" applyFont="1" applyFill="1" applyBorder="1" applyAlignment="1">
      <alignment wrapText="1"/>
    </xf>
    <xf numFmtId="172" fontId="0" fillId="0" borderId="54" xfId="0" applyNumberFormat="1" applyFill="1" applyBorder="1" applyAlignment="1">
      <alignment/>
    </xf>
    <xf numFmtId="0" fontId="0" fillId="0" borderId="25" xfId="0" applyFill="1" applyBorder="1" applyAlignment="1">
      <alignment/>
    </xf>
    <xf numFmtId="0" fontId="0" fillId="0" borderId="24" xfId="0" applyFill="1" applyBorder="1" applyAlignment="1">
      <alignment/>
    </xf>
    <xf numFmtId="0" fontId="14" fillId="0" borderId="0" xfId="0" applyFont="1" applyFill="1" applyAlignment="1">
      <alignment/>
    </xf>
    <xf numFmtId="0" fontId="3" fillId="0" borderId="75" xfId="0" applyFont="1" applyFill="1" applyBorder="1" applyAlignment="1">
      <alignment wrapText="1"/>
    </xf>
    <xf numFmtId="172" fontId="9" fillId="0" borderId="54" xfId="0" applyNumberFormat="1" applyFont="1" applyFill="1" applyBorder="1" applyAlignment="1">
      <alignment/>
    </xf>
    <xf numFmtId="0" fontId="9" fillId="0" borderId="0" xfId="0" applyFont="1" applyFill="1" applyAlignment="1">
      <alignment wrapText="1"/>
    </xf>
    <xf numFmtId="2" fontId="9" fillId="0" borderId="0" xfId="0" applyNumberFormat="1" applyFont="1" applyFill="1" applyAlignment="1">
      <alignment/>
    </xf>
    <xf numFmtId="0" fontId="0" fillId="0" borderId="23" xfId="0" applyFill="1" applyBorder="1" applyAlignment="1">
      <alignment/>
    </xf>
    <xf numFmtId="0" fontId="0" fillId="0" borderId="0" xfId="0" applyFill="1" applyAlignment="1">
      <alignment wrapText="1"/>
    </xf>
    <xf numFmtId="0" fontId="14" fillId="0" borderId="0" xfId="0" applyFont="1" applyFill="1" applyAlignment="1">
      <alignment horizontal="center"/>
    </xf>
    <xf numFmtId="0" fontId="93" fillId="0" borderId="0" xfId="0" applyFont="1" applyFill="1" applyAlignment="1">
      <alignment horizontal="center"/>
    </xf>
    <xf numFmtId="0" fontId="36" fillId="0" borderId="0" xfId="0" applyFont="1" applyFill="1" applyAlignment="1">
      <alignment/>
    </xf>
    <xf numFmtId="175" fontId="0" fillId="0" borderId="0" xfId="0" applyNumberFormat="1" applyFill="1" applyAlignment="1">
      <alignment/>
    </xf>
    <xf numFmtId="0" fontId="25" fillId="0" borderId="33" xfId="0" applyFont="1" applyFill="1" applyBorder="1" applyAlignment="1">
      <alignment/>
    </xf>
    <xf numFmtId="0" fontId="0" fillId="0" borderId="34" xfId="0" applyFill="1" applyBorder="1" applyAlignment="1">
      <alignment/>
    </xf>
    <xf numFmtId="0" fontId="3" fillId="0" borderId="0" xfId="0" applyFont="1" applyFill="1" applyBorder="1" applyAlignment="1">
      <alignment/>
    </xf>
    <xf numFmtId="0" fontId="85" fillId="0" borderId="0" xfId="0" applyFont="1" applyFill="1" applyAlignment="1">
      <alignment/>
    </xf>
    <xf numFmtId="0" fontId="13" fillId="0" borderId="0" xfId="0" applyFont="1" applyFill="1" applyAlignment="1">
      <alignment/>
    </xf>
    <xf numFmtId="0" fontId="0" fillId="0" borderId="29" xfId="0" applyFill="1" applyBorder="1" applyAlignment="1">
      <alignment horizontal="center"/>
    </xf>
    <xf numFmtId="0" fontId="0" fillId="0" borderId="29" xfId="0" applyFill="1" applyBorder="1" applyAlignment="1">
      <alignment horizontal="center" wrapText="1"/>
    </xf>
    <xf numFmtId="0" fontId="0" fillId="0" borderId="31" xfId="0" applyFill="1" applyBorder="1" applyAlignment="1">
      <alignment wrapText="1"/>
    </xf>
    <xf numFmtId="0" fontId="14" fillId="0" borderId="0" xfId="0" applyFont="1" applyFill="1" applyAlignment="1">
      <alignment/>
    </xf>
    <xf numFmtId="0" fontId="14" fillId="0" borderId="0" xfId="0" applyFont="1" applyFill="1" applyAlignment="1">
      <alignment horizontal="center" wrapText="1"/>
    </xf>
    <xf numFmtId="0" fontId="14" fillId="0" borderId="16" xfId="0" applyFont="1" applyFill="1" applyBorder="1" applyAlignment="1">
      <alignment horizontal="center" wrapText="1"/>
    </xf>
    <xf numFmtId="0" fontId="14" fillId="0" borderId="46" xfId="0" applyFont="1" applyFill="1" applyBorder="1" applyAlignment="1">
      <alignment horizontal="center" wrapText="1"/>
    </xf>
    <xf numFmtId="0" fontId="14" fillId="0" borderId="21" xfId="0" applyFont="1" applyFill="1" applyBorder="1" applyAlignment="1">
      <alignment horizontal="center" wrapText="1"/>
    </xf>
    <xf numFmtId="0" fontId="14" fillId="0" borderId="52" xfId="0" applyFont="1" applyFill="1" applyBorder="1" applyAlignment="1">
      <alignment horizontal="center" wrapText="1"/>
    </xf>
    <xf numFmtId="0" fontId="14" fillId="0" borderId="38" xfId="0" applyFont="1" applyFill="1" applyBorder="1" applyAlignment="1">
      <alignment wrapText="1"/>
    </xf>
    <xf numFmtId="0" fontId="14" fillId="0" borderId="0" xfId="0" applyFont="1" applyFill="1" applyAlignment="1">
      <alignment wrapText="1"/>
    </xf>
    <xf numFmtId="0" fontId="14" fillId="0" borderId="10" xfId="0" applyFont="1" applyFill="1" applyBorder="1" applyAlignment="1">
      <alignment wrapText="1"/>
    </xf>
    <xf numFmtId="0" fontId="14" fillId="0" borderId="0" xfId="0" applyFont="1" applyFill="1" applyBorder="1" applyAlignment="1">
      <alignment wrapText="1"/>
    </xf>
    <xf numFmtId="0" fontId="14" fillId="0" borderId="124" xfId="0" applyFont="1" applyFill="1" applyBorder="1" applyAlignment="1">
      <alignment wrapText="1"/>
    </xf>
    <xf numFmtId="0" fontId="14" fillId="0" borderId="22" xfId="0" applyFont="1" applyFill="1" applyBorder="1" applyAlignment="1">
      <alignment horizontal="center" wrapText="1"/>
    </xf>
    <xf numFmtId="0" fontId="14" fillId="0" borderId="0" xfId="0" applyFont="1" applyFill="1" applyBorder="1" applyAlignment="1">
      <alignment horizontal="center" wrapText="1"/>
    </xf>
    <xf numFmtId="0" fontId="14" fillId="0" borderId="45" xfId="0" applyFont="1" applyFill="1" applyBorder="1" applyAlignment="1">
      <alignment horizontal="center" wrapText="1"/>
    </xf>
    <xf numFmtId="0" fontId="14" fillId="0" borderId="10" xfId="0" applyFont="1" applyFill="1" applyBorder="1" applyAlignment="1">
      <alignment horizontal="center" wrapText="1"/>
    </xf>
    <xf numFmtId="0" fontId="6" fillId="0" borderId="12" xfId="0" applyFont="1" applyFill="1" applyBorder="1" applyAlignment="1">
      <alignment horizontal="center" wrapText="1"/>
    </xf>
    <xf numFmtId="0" fontId="6" fillId="0" borderId="11" xfId="0" applyFont="1" applyFill="1" applyBorder="1" applyAlignment="1">
      <alignment horizontal="center" wrapText="1"/>
    </xf>
    <xf numFmtId="0" fontId="6" fillId="0" borderId="13" xfId="0" applyFont="1" applyFill="1" applyBorder="1" applyAlignment="1">
      <alignment horizontal="center" wrapText="1"/>
    </xf>
    <xf numFmtId="0" fontId="0" fillId="0" borderId="139" xfId="0" applyFill="1" applyBorder="1" applyAlignment="1">
      <alignment horizontal="center" wrapText="1"/>
    </xf>
    <xf numFmtId="0" fontId="0" fillId="0" borderId="12" xfId="0" applyFill="1" applyBorder="1" applyAlignment="1">
      <alignment horizontal="center" wrapText="1"/>
    </xf>
    <xf numFmtId="0" fontId="0" fillId="0" borderId="15" xfId="0" applyFill="1" applyBorder="1" applyAlignment="1">
      <alignment horizontal="center" wrapText="1"/>
    </xf>
    <xf numFmtId="0" fontId="0" fillId="0" borderId="12" xfId="0" applyFill="1" applyBorder="1" applyAlignment="1">
      <alignment wrapText="1"/>
    </xf>
    <xf numFmtId="0" fontId="0" fillId="0" borderId="11" xfId="0" applyFill="1" applyBorder="1" applyAlignment="1">
      <alignment horizontal="center" wrapText="1"/>
    </xf>
    <xf numFmtId="0" fontId="0" fillId="0" borderId="13" xfId="0" applyFill="1" applyBorder="1" applyAlignment="1">
      <alignment horizontal="center" wrapText="1"/>
    </xf>
    <xf numFmtId="0" fontId="0" fillId="0" borderId="11" xfId="0" applyFill="1" applyBorder="1" applyAlignment="1">
      <alignment wrapText="1"/>
    </xf>
    <xf numFmtId="0" fontId="0" fillId="0" borderId="43" xfId="0" applyFill="1" applyBorder="1" applyAlignment="1">
      <alignment horizontal="center" wrapText="1"/>
    </xf>
    <xf numFmtId="0" fontId="0" fillId="0" borderId="15" xfId="0" applyFill="1" applyBorder="1" applyAlignment="1">
      <alignment wrapText="1"/>
    </xf>
    <xf numFmtId="0" fontId="0" fillId="0" borderId="48" xfId="0" applyFill="1" applyBorder="1" applyAlignment="1">
      <alignment wrapText="1"/>
    </xf>
    <xf numFmtId="0" fontId="0" fillId="0" borderId="92" xfId="0" applyFill="1" applyBorder="1" applyAlignment="1">
      <alignment wrapText="1"/>
    </xf>
    <xf numFmtId="0" fontId="0" fillId="0" borderId="40" xfId="0" applyFill="1" applyBorder="1" applyAlignment="1">
      <alignment horizontal="center" wrapText="1"/>
    </xf>
    <xf numFmtId="0" fontId="39" fillId="0" borderId="0" xfId="0" applyFont="1" applyFill="1" applyBorder="1" applyAlignment="1">
      <alignment/>
    </xf>
    <xf numFmtId="0" fontId="39" fillId="0" borderId="10" xfId="0" applyFont="1" applyFill="1" applyBorder="1" applyAlignment="1">
      <alignment/>
    </xf>
    <xf numFmtId="0" fontId="0" fillId="0" borderId="42" xfId="0" applyFill="1" applyBorder="1" applyAlignment="1">
      <alignment/>
    </xf>
    <xf numFmtId="0" fontId="0" fillId="0" borderId="44" xfId="0" applyFill="1" applyBorder="1" applyAlignment="1">
      <alignment/>
    </xf>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11" fontId="0" fillId="0" borderId="10" xfId="0" applyNumberFormat="1" applyFill="1" applyBorder="1" applyAlignment="1">
      <alignment/>
    </xf>
    <xf numFmtId="172" fontId="0" fillId="0" borderId="0" xfId="0" applyNumberFormat="1" applyFill="1" applyBorder="1" applyAlignment="1">
      <alignment/>
    </xf>
    <xf numFmtId="11" fontId="0" fillId="0" borderId="14" xfId="0" applyNumberFormat="1" applyFill="1" applyBorder="1" applyAlignment="1">
      <alignment/>
    </xf>
    <xf numFmtId="10" fontId="0" fillId="0" borderId="0" xfId="61" applyNumberFormat="1" applyFont="1" applyFill="1" applyBorder="1" applyAlignment="1">
      <alignment/>
    </xf>
    <xf numFmtId="10" fontId="0" fillId="0" borderId="14" xfId="61" applyNumberFormat="1" applyFont="1" applyFill="1" applyBorder="1" applyAlignment="1">
      <alignment/>
    </xf>
    <xf numFmtId="10" fontId="0" fillId="0" borderId="16" xfId="0" applyNumberFormat="1" applyFill="1" applyBorder="1" applyAlignment="1">
      <alignment/>
    </xf>
    <xf numFmtId="11" fontId="0" fillId="0" borderId="22" xfId="0" applyNumberFormat="1" applyFill="1" applyBorder="1" applyAlignment="1">
      <alignment/>
    </xf>
    <xf numFmtId="168" fontId="6" fillId="0" borderId="0" xfId="0" applyNumberFormat="1" applyFont="1" applyFill="1" applyBorder="1" applyAlignment="1">
      <alignment/>
    </xf>
    <xf numFmtId="11" fontId="0" fillId="0" borderId="0" xfId="61" applyNumberFormat="1" applyFont="1" applyFill="1" applyBorder="1" applyAlignment="1">
      <alignment/>
    </xf>
    <xf numFmtId="11" fontId="0" fillId="0" borderId="42" xfId="0" applyNumberFormat="1" applyFill="1" applyBorder="1" applyAlignment="1">
      <alignment/>
    </xf>
    <xf numFmtId="11" fontId="0" fillId="0" borderId="44" xfId="0" applyNumberFormat="1" applyFill="1" applyBorder="1" applyAlignment="1">
      <alignment/>
    </xf>
    <xf numFmtId="172" fontId="6" fillId="0" borderId="18" xfId="0" applyNumberFormat="1" applyFont="1" applyFill="1" applyBorder="1" applyAlignment="1">
      <alignment horizontal="center"/>
    </xf>
    <xf numFmtId="172" fontId="6" fillId="0" borderId="17" xfId="0" applyNumberFormat="1" applyFont="1" applyFill="1" applyBorder="1" applyAlignment="1">
      <alignment horizontal="center"/>
    </xf>
    <xf numFmtId="0" fontId="0" fillId="0" borderId="140" xfId="0" applyFill="1" applyBorder="1" applyAlignment="1">
      <alignment horizontal="center"/>
    </xf>
    <xf numFmtId="10" fontId="0" fillId="0" borderId="38" xfId="61" applyNumberFormat="1" applyFont="1" applyFill="1" applyBorder="1" applyAlignment="1">
      <alignment horizontal="center"/>
    </xf>
    <xf numFmtId="0" fontId="0" fillId="0" borderId="37" xfId="0" applyFill="1" applyBorder="1" applyAlignment="1" applyProtection="1">
      <alignment horizontal="center"/>
      <protection locked="0"/>
    </xf>
    <xf numFmtId="0" fontId="0" fillId="0" borderId="17" xfId="0" applyFill="1" applyBorder="1" applyAlignment="1" applyProtection="1">
      <alignment horizontal="center"/>
      <protection locked="0"/>
    </xf>
    <xf numFmtId="10" fontId="0" fillId="0" borderId="38" xfId="61" applyNumberFormat="1" applyFont="1" applyFill="1" applyBorder="1" applyAlignment="1">
      <alignment/>
    </xf>
    <xf numFmtId="11" fontId="0" fillId="0" borderId="37" xfId="0" applyNumberFormat="1" applyFill="1" applyBorder="1" applyAlignment="1">
      <alignment/>
    </xf>
    <xf numFmtId="172" fontId="0" fillId="0" borderId="17" xfId="0" applyNumberFormat="1" applyFill="1" applyBorder="1" applyAlignment="1">
      <alignment/>
    </xf>
    <xf numFmtId="11" fontId="0" fillId="0" borderId="17" xfId="0" applyNumberFormat="1" applyFill="1" applyBorder="1" applyAlignment="1">
      <alignment/>
    </xf>
    <xf numFmtId="11" fontId="0" fillId="0" borderId="18" xfId="0" applyNumberFormat="1" applyFill="1" applyBorder="1" applyAlignment="1">
      <alignment/>
    </xf>
    <xf numFmtId="10" fontId="0" fillId="0" borderId="17" xfId="61" applyNumberFormat="1" applyFont="1" applyFill="1" applyBorder="1" applyAlignment="1">
      <alignment/>
    </xf>
    <xf numFmtId="10" fontId="0" fillId="0" borderId="18" xfId="61" applyNumberFormat="1" applyFont="1" applyFill="1" applyBorder="1" applyAlignment="1">
      <alignment/>
    </xf>
    <xf numFmtId="10" fontId="0" fillId="0" borderId="38" xfId="0" applyNumberFormat="1" applyFill="1" applyBorder="1" applyAlignment="1">
      <alignment/>
    </xf>
    <xf numFmtId="11" fontId="0" fillId="0" borderId="140" xfId="0" applyNumberFormat="1" applyFill="1" applyBorder="1" applyAlignment="1">
      <alignment/>
    </xf>
    <xf numFmtId="0" fontId="6" fillId="0" borderId="37" xfId="0" applyFont="1" applyFill="1" applyBorder="1" applyAlignment="1">
      <alignment/>
    </xf>
    <xf numFmtId="168" fontId="6" fillId="0" borderId="17" xfId="0" applyNumberFormat="1" applyFont="1" applyFill="1" applyBorder="1" applyAlignment="1">
      <alignment/>
    </xf>
    <xf numFmtId="0" fontId="0" fillId="0" borderId="140" xfId="0" applyFill="1" applyBorder="1" applyAlignment="1">
      <alignment/>
    </xf>
    <xf numFmtId="11" fontId="0" fillId="0" borderId="17" xfId="61" applyNumberFormat="1" applyFont="1" applyFill="1" applyBorder="1" applyAlignment="1">
      <alignment/>
    </xf>
    <xf numFmtId="11" fontId="0" fillId="0" borderId="17" xfId="0" applyNumberFormat="1" applyFill="1" applyBorder="1" applyAlignment="1">
      <alignment horizontal="right"/>
    </xf>
    <xf numFmtId="0" fontId="0" fillId="0" borderId="17" xfId="0" applyFill="1" applyBorder="1" applyAlignment="1">
      <alignment horizontal="center"/>
    </xf>
    <xf numFmtId="0" fontId="0" fillId="0" borderId="38" xfId="0" applyFill="1" applyBorder="1" applyAlignment="1">
      <alignment horizontal="center"/>
    </xf>
    <xf numFmtId="0" fontId="0" fillId="0" borderId="38" xfId="0" applyFill="1" applyBorder="1" applyAlignment="1">
      <alignment/>
    </xf>
    <xf numFmtId="166" fontId="0" fillId="0" borderId="17" xfId="0" applyNumberFormat="1" applyFill="1" applyBorder="1" applyAlignment="1">
      <alignment/>
    </xf>
    <xf numFmtId="11" fontId="0" fillId="0" borderId="67" xfId="0" applyNumberFormat="1" applyFill="1" applyBorder="1" applyAlignment="1">
      <alignment/>
    </xf>
    <xf numFmtId="11" fontId="0" fillId="0" borderId="19" xfId="0" applyNumberFormat="1" applyFill="1" applyBorder="1" applyAlignment="1">
      <alignment/>
    </xf>
    <xf numFmtId="172" fontId="6" fillId="0" borderId="26" xfId="0" applyNumberFormat="1" applyFont="1" applyFill="1" applyBorder="1" applyAlignment="1">
      <alignment horizontal="center"/>
    </xf>
    <xf numFmtId="172" fontId="6" fillId="0" borderId="23" xfId="0" applyNumberFormat="1" applyFont="1" applyFill="1" applyBorder="1" applyAlignment="1">
      <alignment horizontal="center"/>
    </xf>
    <xf numFmtId="0" fontId="0" fillId="0" borderId="61" xfId="0" applyFill="1" applyBorder="1" applyAlignment="1">
      <alignment horizontal="center"/>
    </xf>
    <xf numFmtId="10" fontId="0" fillId="0" borderId="24" xfId="61" applyNumberFormat="1" applyFont="1" applyFill="1" applyBorder="1" applyAlignment="1">
      <alignment horizontal="center"/>
    </xf>
    <xf numFmtId="0" fontId="0" fillId="0" borderId="25" xfId="0" applyFill="1" applyBorder="1" applyAlignment="1" applyProtection="1">
      <alignment horizontal="center"/>
      <protection locked="0"/>
    </xf>
    <xf numFmtId="0" fontId="0" fillId="0" borderId="23" xfId="0" applyFill="1" applyBorder="1" applyAlignment="1" applyProtection="1">
      <alignment horizontal="center"/>
      <protection locked="0"/>
    </xf>
    <xf numFmtId="10" fontId="0" fillId="0" borderId="24" xfId="61" applyNumberFormat="1" applyFont="1" applyFill="1" applyBorder="1" applyAlignment="1">
      <alignment/>
    </xf>
    <xf numFmtId="11" fontId="0" fillId="0" borderId="25" xfId="0" applyNumberFormat="1" applyFill="1" applyBorder="1" applyAlignment="1">
      <alignment/>
    </xf>
    <xf numFmtId="172" fontId="0" fillId="0" borderId="23" xfId="0" applyNumberFormat="1" applyFill="1" applyBorder="1" applyAlignment="1">
      <alignment/>
    </xf>
    <xf numFmtId="11" fontId="0" fillId="0" borderId="23" xfId="0" applyNumberFormat="1" applyFill="1" applyBorder="1" applyAlignment="1">
      <alignment/>
    </xf>
    <xf numFmtId="11" fontId="0" fillId="0" borderId="26" xfId="0" applyNumberFormat="1" applyFill="1" applyBorder="1" applyAlignment="1">
      <alignment/>
    </xf>
    <xf numFmtId="10" fontId="0" fillId="0" borderId="23" xfId="61" applyNumberFormat="1" applyFont="1" applyFill="1" applyBorder="1" applyAlignment="1">
      <alignment/>
    </xf>
    <xf numFmtId="10" fontId="0" fillId="0" borderId="26" xfId="61" applyNumberFormat="1" applyFont="1" applyFill="1" applyBorder="1" applyAlignment="1">
      <alignment/>
    </xf>
    <xf numFmtId="10" fontId="0" fillId="0" borderId="64" xfId="0" applyNumberFormat="1" applyFill="1" applyBorder="1" applyAlignment="1">
      <alignment/>
    </xf>
    <xf numFmtId="11" fontId="0" fillId="0" borderId="61" xfId="0" applyNumberFormat="1" applyFill="1" applyBorder="1" applyAlignment="1">
      <alignment/>
    </xf>
    <xf numFmtId="168" fontId="6" fillId="0" borderId="23" xfId="0" applyNumberFormat="1" applyFont="1" applyFill="1" applyBorder="1" applyAlignment="1">
      <alignment/>
    </xf>
    <xf numFmtId="11" fontId="0" fillId="0" borderId="23" xfId="61" applyNumberFormat="1" applyFont="1" applyFill="1" applyBorder="1" applyAlignment="1">
      <alignment/>
    </xf>
    <xf numFmtId="11" fontId="0" fillId="0" borderId="23" xfId="0" applyNumberFormat="1" applyFill="1" applyBorder="1" applyAlignment="1">
      <alignment horizontal="right"/>
    </xf>
    <xf numFmtId="166" fontId="0" fillId="0" borderId="23" xfId="0" applyNumberFormat="1" applyFill="1" applyBorder="1" applyAlignment="1">
      <alignment/>
    </xf>
    <xf numFmtId="11" fontId="0" fillId="0" borderId="68" xfId="0" applyNumberFormat="1" applyFill="1" applyBorder="1" applyAlignment="1">
      <alignment/>
    </xf>
    <xf numFmtId="11" fontId="0" fillId="0" borderId="63" xfId="0" applyNumberFormat="1" applyFill="1" applyBorder="1" applyAlignment="1">
      <alignment/>
    </xf>
    <xf numFmtId="10" fontId="0" fillId="0" borderId="27" xfId="0" applyNumberFormat="1" applyFill="1" applyBorder="1" applyAlignment="1">
      <alignment/>
    </xf>
    <xf numFmtId="0" fontId="21" fillId="0" borderId="0" xfId="0" applyFont="1" applyFill="1" applyBorder="1" applyAlignment="1">
      <alignment horizontal="center"/>
    </xf>
    <xf numFmtId="10" fontId="0" fillId="0" borderId="39" xfId="0" applyNumberFormat="1" applyFill="1" applyBorder="1" applyAlignment="1">
      <alignment/>
    </xf>
    <xf numFmtId="172" fontId="8" fillId="0" borderId="30" xfId="0" applyNumberFormat="1" applyFont="1" applyFill="1" applyBorder="1" applyAlignment="1">
      <alignment horizontal="center"/>
    </xf>
    <xf numFmtId="172" fontId="8" fillId="0" borderId="29" xfId="0" applyNumberFormat="1" applyFont="1" applyFill="1" applyBorder="1" applyAlignment="1">
      <alignment horizontal="center"/>
    </xf>
    <xf numFmtId="11" fontId="8" fillId="0" borderId="29" xfId="0" applyNumberFormat="1" applyFont="1" applyFill="1" applyBorder="1" applyAlignment="1">
      <alignment horizontal="center"/>
    </xf>
    <xf numFmtId="11" fontId="0" fillId="0" borderId="29" xfId="0" applyNumberFormat="1" applyFill="1" applyBorder="1" applyAlignment="1">
      <alignment horizontal="center"/>
    </xf>
    <xf numFmtId="10" fontId="0" fillId="0" borderId="31" xfId="0" applyNumberFormat="1" applyFill="1" applyBorder="1" applyAlignment="1">
      <alignment horizontal="center"/>
    </xf>
    <xf numFmtId="10" fontId="0" fillId="0" borderId="31" xfId="0" applyNumberFormat="1" applyFill="1" applyBorder="1" applyAlignment="1">
      <alignment/>
    </xf>
    <xf numFmtId="11" fontId="0" fillId="0" borderId="28" xfId="0" applyNumberFormat="1" applyFill="1" applyBorder="1" applyAlignment="1">
      <alignment/>
    </xf>
    <xf numFmtId="172" fontId="0" fillId="0" borderId="29" xfId="0" applyNumberFormat="1" applyFill="1" applyBorder="1" applyAlignment="1">
      <alignment/>
    </xf>
    <xf numFmtId="11" fontId="0" fillId="0" borderId="30" xfId="0" applyNumberFormat="1" applyFill="1" applyBorder="1" applyAlignment="1">
      <alignment/>
    </xf>
    <xf numFmtId="174" fontId="0" fillId="0" borderId="29" xfId="61" applyNumberFormat="1" applyFont="1" applyFill="1" applyBorder="1" applyAlignment="1">
      <alignment/>
    </xf>
    <xf numFmtId="11" fontId="0" fillId="0" borderId="60" xfId="0" applyNumberFormat="1" applyFill="1" applyBorder="1" applyAlignment="1">
      <alignment/>
    </xf>
    <xf numFmtId="166" fontId="0" fillId="0" borderId="60" xfId="0" applyNumberFormat="1" applyFill="1" applyBorder="1" applyAlignment="1">
      <alignment/>
    </xf>
    <xf numFmtId="168" fontId="6" fillId="0" borderId="29" xfId="0" applyNumberFormat="1" applyFont="1" applyFill="1" applyBorder="1" applyAlignment="1">
      <alignment/>
    </xf>
    <xf numFmtId="10" fontId="0" fillId="0" borderId="29" xfId="0" applyNumberFormat="1" applyFill="1" applyBorder="1" applyAlignment="1">
      <alignment/>
    </xf>
    <xf numFmtId="11" fontId="0" fillId="0" borderId="29" xfId="0" applyNumberFormat="1" applyFill="1" applyBorder="1" applyAlignment="1">
      <alignment horizontal="right"/>
    </xf>
    <xf numFmtId="0" fontId="21" fillId="0" borderId="29" xfId="0" applyFont="1" applyFill="1" applyBorder="1" applyAlignment="1">
      <alignment horizontal="center"/>
    </xf>
    <xf numFmtId="11" fontId="0" fillId="0" borderId="28" xfId="0" applyNumberFormat="1" applyFill="1" applyBorder="1" applyAlignment="1">
      <alignment horizontal="center"/>
    </xf>
    <xf numFmtId="0" fontId="2" fillId="0" borderId="28" xfId="0" applyFont="1" applyFill="1" applyBorder="1" applyAlignment="1">
      <alignment horizontal="center"/>
    </xf>
    <xf numFmtId="0" fontId="0" fillId="0" borderId="141" xfId="0" applyFill="1" applyBorder="1" applyAlignment="1">
      <alignment/>
    </xf>
    <xf numFmtId="11" fontId="0" fillId="0" borderId="52" xfId="0" applyNumberFormat="1" applyFill="1" applyBorder="1" applyAlignment="1">
      <alignment/>
    </xf>
    <xf numFmtId="11" fontId="0" fillId="0" borderId="141" xfId="0" applyNumberFormat="1" applyFill="1" applyBorder="1" applyAlignment="1">
      <alignment/>
    </xf>
    <xf numFmtId="11" fontId="0" fillId="0" borderId="21" xfId="0" applyNumberFormat="1" applyFill="1" applyBorder="1" applyAlignment="1">
      <alignment/>
    </xf>
    <xf numFmtId="11" fontId="0" fillId="0" borderId="142" xfId="0" applyNumberFormat="1" applyFill="1" applyBorder="1" applyAlignment="1">
      <alignment/>
    </xf>
    <xf numFmtId="0" fontId="24" fillId="0" borderId="0" xfId="0" applyFont="1" applyFill="1" applyAlignment="1">
      <alignment/>
    </xf>
    <xf numFmtId="0" fontId="0" fillId="0" borderId="21" xfId="0" applyFill="1" applyBorder="1" applyAlignment="1">
      <alignment/>
    </xf>
    <xf numFmtId="2" fontId="0" fillId="0" borderId="0" xfId="0" applyNumberFormat="1" applyFill="1" applyAlignment="1" applyProtection="1">
      <alignment horizontal="center"/>
      <protection/>
    </xf>
    <xf numFmtId="0" fontId="0" fillId="0" borderId="0" xfId="0" applyFill="1" applyAlignment="1">
      <alignment horizontal="right"/>
    </xf>
    <xf numFmtId="0" fontId="0" fillId="0" borderId="0" xfId="0" applyNumberFormat="1" applyFill="1" applyAlignment="1">
      <alignment horizontal="center"/>
    </xf>
    <xf numFmtId="0" fontId="21" fillId="0" borderId="34" xfId="0" applyFont="1" applyFill="1" applyBorder="1" applyAlignment="1">
      <alignment/>
    </xf>
    <xf numFmtId="0" fontId="0" fillId="0" borderId="28" xfId="0" applyFill="1" applyBorder="1" applyAlignment="1">
      <alignment horizontal="right"/>
    </xf>
    <xf numFmtId="0" fontId="0" fillId="0" borderId="20" xfId="0" applyFill="1" applyBorder="1" applyAlignment="1">
      <alignment wrapText="1"/>
    </xf>
    <xf numFmtId="11" fontId="0" fillId="0" borderId="20" xfId="0" applyNumberFormat="1" applyFill="1" applyBorder="1" applyAlignment="1">
      <alignment wrapText="1"/>
    </xf>
    <xf numFmtId="11" fontId="0" fillId="0" borderId="54" xfId="0" applyNumberFormat="1" applyFill="1" applyBorder="1" applyAlignment="1">
      <alignment/>
    </xf>
    <xf numFmtId="0" fontId="0" fillId="0" borderId="51" xfId="0" applyFill="1" applyBorder="1" applyAlignment="1">
      <alignment/>
    </xf>
    <xf numFmtId="0" fontId="0" fillId="0" borderId="20" xfId="0" applyFill="1" applyBorder="1" applyAlignment="1">
      <alignment horizontal="center"/>
    </xf>
    <xf numFmtId="0" fontId="0" fillId="0" borderId="19" xfId="0" applyFill="1" applyBorder="1" applyAlignment="1">
      <alignment horizontal="center"/>
    </xf>
    <xf numFmtId="11" fontId="0" fillId="0" borderId="20" xfId="0" applyNumberFormat="1" applyFill="1" applyBorder="1" applyAlignment="1">
      <alignment horizontal="center"/>
    </xf>
    <xf numFmtId="0" fontId="0" fillId="0" borderId="20" xfId="0" applyFill="1" applyBorder="1" applyAlignment="1">
      <alignment/>
    </xf>
    <xf numFmtId="174" fontId="0" fillId="0" borderId="20" xfId="0" applyNumberFormat="1" applyFill="1" applyBorder="1" applyAlignment="1">
      <alignment/>
    </xf>
    <xf numFmtId="0" fontId="30" fillId="0" borderId="33" xfId="0" applyFont="1" applyFill="1" applyBorder="1" applyAlignment="1">
      <alignment/>
    </xf>
    <xf numFmtId="0" fontId="0" fillId="0" borderId="35" xfId="0" applyFill="1" applyBorder="1" applyAlignment="1">
      <alignment/>
    </xf>
    <xf numFmtId="0" fontId="0" fillId="0" borderId="60" xfId="0" applyFill="1" applyBorder="1" applyAlignment="1">
      <alignment wrapText="1"/>
    </xf>
    <xf numFmtId="175" fontId="2" fillId="0" borderId="20" xfId="61" applyNumberFormat="1" applyFont="1" applyFill="1" applyBorder="1" applyAlignment="1">
      <alignment horizontal="center"/>
    </xf>
    <xf numFmtId="0" fontId="12" fillId="0" borderId="20" xfId="0" applyFont="1" applyFill="1" applyBorder="1" applyAlignment="1">
      <alignment/>
    </xf>
    <xf numFmtId="173" fontId="2" fillId="0" borderId="44" xfId="61" applyNumberFormat="1" applyFont="1" applyFill="1" applyBorder="1" applyAlignment="1">
      <alignment horizontal="center"/>
    </xf>
    <xf numFmtId="11" fontId="0" fillId="0" borderId="36" xfId="0" applyNumberFormat="1" applyFill="1" applyBorder="1" applyAlignment="1">
      <alignment horizontal="center"/>
    </xf>
    <xf numFmtId="0" fontId="0" fillId="0" borderId="16" xfId="0" applyNumberFormat="1" applyFill="1" applyBorder="1" applyAlignment="1">
      <alignment/>
    </xf>
    <xf numFmtId="0" fontId="0" fillId="0" borderId="19" xfId="0" applyFill="1" applyBorder="1" applyAlignment="1">
      <alignment/>
    </xf>
    <xf numFmtId="176" fontId="0" fillId="0" borderId="18" xfId="61" applyNumberFormat="1" applyFont="1" applyFill="1" applyBorder="1" applyAlignment="1">
      <alignment/>
    </xf>
    <xf numFmtId="0" fontId="0" fillId="0" borderId="23" xfId="0" applyFill="1" applyBorder="1" applyAlignment="1">
      <alignment horizontal="right"/>
    </xf>
    <xf numFmtId="0" fontId="0" fillId="0" borderId="24" xfId="0" applyNumberFormat="1" applyFill="1" applyBorder="1" applyAlignment="1">
      <alignment/>
    </xf>
    <xf numFmtId="0" fontId="21" fillId="0" borderId="0" xfId="0" applyFont="1" applyFill="1" applyAlignment="1">
      <alignment horizontal="center"/>
    </xf>
    <xf numFmtId="0" fontId="0" fillId="0" borderId="67" xfId="0" applyFill="1" applyBorder="1" applyAlignment="1">
      <alignment/>
    </xf>
    <xf numFmtId="0" fontId="0" fillId="0" borderId="18" xfId="0" applyFill="1" applyBorder="1" applyAlignment="1">
      <alignment horizontal="right"/>
    </xf>
    <xf numFmtId="0" fontId="0" fillId="0" borderId="18" xfId="0" applyFill="1" applyBorder="1" applyAlignment="1">
      <alignment/>
    </xf>
    <xf numFmtId="10" fontId="0" fillId="0" borderId="20" xfId="61" applyNumberFormat="1" applyFont="1" applyFill="1" applyBorder="1" applyAlignment="1">
      <alignment horizontal="center"/>
    </xf>
    <xf numFmtId="10" fontId="0" fillId="0" borderId="36" xfId="0" applyNumberFormat="1" applyFill="1" applyBorder="1" applyAlignment="1">
      <alignment horizontal="center"/>
    </xf>
    <xf numFmtId="172" fontId="0" fillId="0" borderId="0" xfId="0" applyNumberFormat="1" applyFill="1" applyAlignment="1">
      <alignment horizontal="center"/>
    </xf>
    <xf numFmtId="0" fontId="0" fillId="0" borderId="0" xfId="0" applyNumberFormat="1" applyFill="1" applyAlignment="1">
      <alignment/>
    </xf>
    <xf numFmtId="181" fontId="0" fillId="0" borderId="19" xfId="0" applyNumberFormat="1" applyFill="1" applyBorder="1" applyAlignment="1">
      <alignment/>
    </xf>
    <xf numFmtId="0" fontId="32" fillId="0" borderId="0" xfId="0" applyFont="1" applyFill="1" applyAlignment="1">
      <alignment horizontal="left"/>
    </xf>
    <xf numFmtId="11" fontId="0" fillId="0" borderId="0" xfId="0" applyNumberFormat="1" applyFill="1" applyAlignment="1" applyProtection="1">
      <alignment horizontal="center"/>
      <protection/>
    </xf>
    <xf numFmtId="181" fontId="0" fillId="0" borderId="20" xfId="0" applyNumberFormat="1" applyFill="1" applyBorder="1" applyAlignment="1">
      <alignment/>
    </xf>
    <xf numFmtId="0" fontId="25" fillId="0" borderId="0" xfId="0" applyFont="1" applyFill="1" applyAlignment="1">
      <alignment/>
    </xf>
    <xf numFmtId="0" fontId="0" fillId="0" borderId="75" xfId="0" applyFill="1" applyBorder="1" applyAlignment="1">
      <alignment/>
    </xf>
    <xf numFmtId="0" fontId="0" fillId="0" borderId="36" xfId="0" applyFill="1" applyBorder="1" applyAlignment="1">
      <alignment/>
    </xf>
    <xf numFmtId="11" fontId="0" fillId="0" borderId="36" xfId="0" applyNumberFormat="1" applyFill="1" applyBorder="1" applyAlignment="1">
      <alignment/>
    </xf>
    <xf numFmtId="173" fontId="0" fillId="0" borderId="0" xfId="0" applyNumberFormat="1" applyFill="1" applyAlignment="1">
      <alignment/>
    </xf>
    <xf numFmtId="0" fontId="16" fillId="0" borderId="60" xfId="0" applyFont="1" applyFill="1" applyBorder="1" applyAlignment="1">
      <alignment/>
    </xf>
    <xf numFmtId="0" fontId="16" fillId="0" borderId="31" xfId="0" applyFont="1" applyFill="1" applyBorder="1" applyAlignment="1">
      <alignment horizontal="center"/>
    </xf>
    <xf numFmtId="0" fontId="16" fillId="0" borderId="22" xfId="0" applyFont="1" applyFill="1" applyBorder="1" applyAlignment="1">
      <alignment/>
    </xf>
    <xf numFmtId="0" fontId="16" fillId="0" borderId="16" xfId="0" applyFont="1" applyFill="1" applyBorder="1" applyAlignment="1">
      <alignment horizontal="center"/>
    </xf>
    <xf numFmtId="0" fontId="0" fillId="35" borderId="125" xfId="0" applyFill="1" applyBorder="1" applyAlignment="1">
      <alignment/>
    </xf>
    <xf numFmtId="0" fontId="0" fillId="35" borderId="99" xfId="0" applyFill="1" applyBorder="1" applyAlignment="1">
      <alignment/>
    </xf>
    <xf numFmtId="0" fontId="0" fillId="35" borderId="126" xfId="0" applyFill="1" applyBorder="1" applyAlignment="1">
      <alignment/>
    </xf>
    <xf numFmtId="0" fontId="120" fillId="35" borderId="0" xfId="0" applyFont="1" applyFill="1" applyBorder="1" applyAlignment="1">
      <alignment horizontal="center"/>
    </xf>
    <xf numFmtId="0" fontId="0" fillId="35" borderId="0" xfId="0" applyFill="1" applyBorder="1" applyAlignment="1">
      <alignment horizontal="center"/>
    </xf>
    <xf numFmtId="0" fontId="0" fillId="35" borderId="128" xfId="0" applyFill="1" applyBorder="1" applyAlignment="1">
      <alignment horizontal="center"/>
    </xf>
    <xf numFmtId="0" fontId="0" fillId="35" borderId="127" xfId="0" applyFill="1" applyBorder="1" applyAlignment="1">
      <alignment horizontal="center"/>
    </xf>
    <xf numFmtId="0" fontId="44" fillId="35" borderId="0" xfId="0" applyFont="1" applyFill="1" applyBorder="1" applyAlignment="1">
      <alignment horizontal="center"/>
    </xf>
    <xf numFmtId="0" fontId="41" fillId="35" borderId="0" xfId="0" applyFont="1" applyFill="1" applyBorder="1" applyAlignment="1">
      <alignment horizontal="center"/>
    </xf>
    <xf numFmtId="0" fontId="47" fillId="35" borderId="127" xfId="0" applyFont="1" applyFill="1" applyBorder="1" applyAlignment="1">
      <alignment/>
    </xf>
    <xf numFmtId="0" fontId="8" fillId="35" borderId="0" xfId="0" applyFont="1" applyFill="1" applyBorder="1" applyAlignment="1">
      <alignment/>
    </xf>
    <xf numFmtId="0" fontId="45" fillId="35" borderId="0" xfId="0" applyFont="1" applyFill="1" applyBorder="1" applyAlignment="1">
      <alignment horizontal="center"/>
    </xf>
    <xf numFmtId="0" fontId="0" fillId="35" borderId="0" xfId="0" applyFill="1" applyBorder="1" applyAlignment="1">
      <alignment/>
    </xf>
    <xf numFmtId="0" fontId="0" fillId="35" borderId="128" xfId="0" applyFill="1" applyBorder="1" applyAlignment="1">
      <alignment/>
    </xf>
    <xf numFmtId="0" fontId="8" fillId="35" borderId="127" xfId="0" applyFont="1" applyFill="1" applyBorder="1" applyAlignment="1">
      <alignment/>
    </xf>
    <xf numFmtId="0" fontId="47" fillId="35" borderId="0" xfId="0" applyFont="1" applyFill="1" applyBorder="1" applyAlignment="1">
      <alignment horizontal="left"/>
    </xf>
    <xf numFmtId="0" fontId="2" fillId="35" borderId="0" xfId="0" applyFont="1" applyFill="1" applyBorder="1" applyAlignment="1">
      <alignment/>
    </xf>
    <xf numFmtId="0" fontId="47" fillId="35" borderId="0" xfId="0" applyFont="1" applyFill="1" applyBorder="1" applyAlignment="1">
      <alignment/>
    </xf>
    <xf numFmtId="0" fontId="0" fillId="35" borderId="127" xfId="0" applyFill="1" applyBorder="1" applyAlignment="1">
      <alignment/>
    </xf>
    <xf numFmtId="0" fontId="46" fillId="35" borderId="127" xfId="0" applyFont="1" applyFill="1" applyBorder="1" applyAlignment="1">
      <alignment/>
    </xf>
    <xf numFmtId="0" fontId="26" fillId="34" borderId="48" xfId="0" applyFont="1" applyFill="1" applyBorder="1" applyAlignment="1" applyProtection="1">
      <alignment horizontal="center" vertical="center" wrapText="1"/>
      <protection/>
    </xf>
    <xf numFmtId="0" fontId="8" fillId="34" borderId="10" xfId="0" applyFont="1" applyFill="1" applyBorder="1" applyAlignment="1">
      <alignment horizontal="center" vertical="center" wrapText="1"/>
    </xf>
    <xf numFmtId="0" fontId="26" fillId="0" borderId="83" xfId="0" applyNumberFormat="1" applyFont="1" applyFill="1" applyBorder="1" applyAlignment="1" applyProtection="1">
      <alignment horizontal="center" vertical="center"/>
      <protection locked="0"/>
    </xf>
    <xf numFmtId="0" fontId="26" fillId="0" borderId="39" xfId="0" applyNumberFormat="1" applyFont="1" applyFill="1" applyBorder="1" applyAlignment="1" applyProtection="1">
      <alignment horizontal="center" vertical="center"/>
      <protection locked="0"/>
    </xf>
    <xf numFmtId="0" fontId="26" fillId="0" borderId="85" xfId="0" applyNumberFormat="1" applyFont="1" applyFill="1" applyBorder="1" applyAlignment="1" applyProtection="1">
      <alignment horizontal="center" vertical="center"/>
      <protection locked="0"/>
    </xf>
    <xf numFmtId="11" fontId="133" fillId="34" borderId="16" xfId="61" applyNumberFormat="1" applyFont="1" applyFill="1" applyBorder="1" applyAlignment="1" applyProtection="1">
      <alignment horizontal="center" vertical="center"/>
      <protection/>
    </xf>
    <xf numFmtId="11" fontId="133" fillId="34" borderId="24" xfId="61" applyNumberFormat="1" applyFont="1" applyFill="1" applyBorder="1" applyAlignment="1" applyProtection="1">
      <alignment horizontal="center" vertical="center"/>
      <protection/>
    </xf>
    <xf numFmtId="11" fontId="26" fillId="34" borderId="25" xfId="0" applyNumberFormat="1" applyFont="1" applyFill="1" applyBorder="1" applyAlignment="1" applyProtection="1">
      <alignment horizontal="center" vertical="center"/>
      <protection/>
    </xf>
    <xf numFmtId="11" fontId="133" fillId="34" borderId="31" xfId="61" applyNumberFormat="1" applyFont="1" applyFill="1" applyBorder="1" applyAlignment="1" applyProtection="1">
      <alignment horizontal="center" vertical="center"/>
      <protection/>
    </xf>
    <xf numFmtId="0" fontId="6" fillId="34" borderId="0" xfId="0" applyNumberFormat="1" applyFont="1" applyFill="1" applyBorder="1" applyAlignment="1" applyProtection="1">
      <alignment vertical="center"/>
      <protection/>
    </xf>
    <xf numFmtId="0" fontId="49" fillId="34" borderId="0" xfId="0" applyNumberFormat="1" applyFont="1" applyFill="1" applyBorder="1" applyAlignment="1" applyProtection="1">
      <alignment vertical="center"/>
      <protection/>
    </xf>
    <xf numFmtId="14" fontId="26" fillId="34" borderId="0" xfId="0" applyNumberFormat="1" applyFont="1" applyFill="1" applyBorder="1" applyAlignment="1" applyProtection="1">
      <alignment horizontal="left" vertical="center"/>
      <protection/>
    </xf>
    <xf numFmtId="0" fontId="76" fillId="34" borderId="0" xfId="0" applyFont="1" applyFill="1" applyBorder="1" applyAlignment="1" applyProtection="1">
      <alignment vertical="center"/>
      <protection/>
    </xf>
    <xf numFmtId="0" fontId="19" fillId="34" borderId="0" xfId="0" applyNumberFormat="1" applyFont="1" applyFill="1" applyBorder="1" applyAlignment="1" applyProtection="1">
      <alignment horizontal="center" vertical="center" wrapText="1"/>
      <protection/>
    </xf>
    <xf numFmtId="0" fontId="6" fillId="34" borderId="10" xfId="0" applyFont="1" applyFill="1" applyBorder="1" applyAlignment="1" applyProtection="1">
      <alignment vertical="center"/>
      <protection/>
    </xf>
    <xf numFmtId="0" fontId="26" fillId="34" borderId="0" xfId="0" applyFont="1" applyFill="1" applyBorder="1" applyAlignment="1" applyProtection="1">
      <alignment horizontal="center" vertical="center"/>
      <protection/>
    </xf>
    <xf numFmtId="169" fontId="6" fillId="34" borderId="0" xfId="0" applyNumberFormat="1" applyFont="1" applyFill="1" applyBorder="1" applyAlignment="1" applyProtection="1">
      <alignment horizontal="center" vertical="center"/>
      <protection/>
    </xf>
    <xf numFmtId="0" fontId="6" fillId="34" borderId="0" xfId="0" applyFont="1" applyFill="1" applyBorder="1" applyAlignment="1" applyProtection="1">
      <alignment horizontal="left" vertical="center"/>
      <protection/>
    </xf>
    <xf numFmtId="2" fontId="26" fillId="34" borderId="16" xfId="0" applyNumberFormat="1" applyFont="1" applyFill="1" applyBorder="1" applyAlignment="1" applyProtection="1">
      <alignment horizontal="center" vertical="center"/>
      <protection/>
    </xf>
    <xf numFmtId="2" fontId="26" fillId="34" borderId="16" xfId="0" applyNumberFormat="1" applyFont="1" applyFill="1" applyBorder="1" applyAlignment="1" applyProtection="1">
      <alignment horizontal="left" vertical="center"/>
      <protection/>
    </xf>
    <xf numFmtId="168" fontId="27" fillId="34" borderId="0" xfId="0" applyNumberFormat="1" applyFont="1" applyFill="1" applyBorder="1" applyAlignment="1" applyProtection="1">
      <alignment horizontal="left" vertical="center"/>
      <protection/>
    </xf>
    <xf numFmtId="11" fontId="27" fillId="34" borderId="0" xfId="0" applyNumberFormat="1" applyFont="1" applyFill="1" applyBorder="1" applyAlignment="1" applyProtection="1">
      <alignment horizontal="left" vertical="center"/>
      <protection/>
    </xf>
    <xf numFmtId="0" fontId="6" fillId="34" borderId="38" xfId="0" applyFont="1" applyFill="1" applyBorder="1" applyAlignment="1" applyProtection="1">
      <alignment vertical="center"/>
      <protection/>
    </xf>
    <xf numFmtId="0" fontId="84" fillId="34" borderId="10" xfId="0" applyFont="1" applyFill="1" applyBorder="1" applyAlignment="1" applyProtection="1">
      <alignment horizontal="left" vertical="center"/>
      <protection/>
    </xf>
    <xf numFmtId="10" fontId="19" fillId="34" borderId="0" xfId="61" applyNumberFormat="1" applyFont="1" applyFill="1" applyBorder="1" applyAlignment="1" applyProtection="1">
      <alignment horizontal="left" vertical="center"/>
      <protection/>
    </xf>
    <xf numFmtId="10" fontId="19" fillId="34" borderId="0" xfId="61" applyNumberFormat="1" applyFont="1" applyFill="1" applyBorder="1" applyAlignment="1" applyProtection="1">
      <alignment horizontal="right" vertical="center"/>
      <protection/>
    </xf>
    <xf numFmtId="10" fontId="19" fillId="34" borderId="16" xfId="61" applyNumberFormat="1" applyFont="1" applyFill="1" applyBorder="1" applyAlignment="1" applyProtection="1">
      <alignment horizontal="left" vertical="center"/>
      <protection/>
    </xf>
    <xf numFmtId="0" fontId="84" fillId="34" borderId="25" xfId="0" applyFont="1" applyFill="1" applyBorder="1" applyAlignment="1" applyProtection="1">
      <alignment vertical="center"/>
      <protection/>
    </xf>
    <xf numFmtId="0" fontId="27" fillId="34" borderId="23" xfId="0" applyFont="1" applyFill="1" applyBorder="1" applyAlignment="1" applyProtection="1">
      <alignment horizontal="center" vertical="center"/>
      <protection/>
    </xf>
    <xf numFmtId="0" fontId="8" fillId="34" borderId="23" xfId="0" applyFont="1" applyFill="1" applyBorder="1" applyAlignment="1" applyProtection="1">
      <alignment horizontal="center" vertical="center"/>
      <protection/>
    </xf>
    <xf numFmtId="0" fontId="6" fillId="34" borderId="24" xfId="0" applyFont="1" applyFill="1" applyBorder="1" applyAlignment="1" applyProtection="1">
      <alignment vertical="center"/>
      <protection/>
    </xf>
    <xf numFmtId="0" fontId="26" fillId="34" borderId="17" xfId="0" applyFont="1" applyFill="1" applyBorder="1" applyAlignment="1" applyProtection="1">
      <alignment vertical="center"/>
      <protection/>
    </xf>
    <xf numFmtId="0" fontId="84" fillId="34" borderId="0" xfId="0" applyFont="1" applyFill="1" applyBorder="1" applyAlignment="1" applyProtection="1">
      <alignment horizontal="left" vertical="center"/>
      <protection/>
    </xf>
    <xf numFmtId="0" fontId="84" fillId="34" borderId="23" xfId="0" applyFont="1" applyFill="1" applyBorder="1" applyAlignment="1" applyProtection="1">
      <alignment vertical="center"/>
      <protection/>
    </xf>
    <xf numFmtId="169" fontId="48" fillId="34" borderId="10"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wrapText="1"/>
      <protection/>
    </xf>
    <xf numFmtId="0" fontId="6" fillId="34" borderId="0" xfId="0" applyFont="1" applyFill="1" applyBorder="1" applyAlignment="1" applyProtection="1">
      <alignment vertical="center" wrapText="1"/>
      <protection/>
    </xf>
    <xf numFmtId="0" fontId="127" fillId="34" borderId="0" xfId="0" applyFont="1" applyFill="1" applyBorder="1" applyAlignment="1" applyProtection="1">
      <alignment horizontal="center" vertical="center"/>
      <protection/>
    </xf>
    <xf numFmtId="2" fontId="6" fillId="34" borderId="16"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0" fontId="130" fillId="34" borderId="0" xfId="0" applyFont="1" applyFill="1" applyBorder="1" applyAlignment="1" applyProtection="1">
      <alignment horizontal="center" vertical="center"/>
      <protection/>
    </xf>
    <xf numFmtId="0" fontId="6" fillId="34" borderId="25" xfId="0"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127" fillId="34" borderId="23" xfId="0" applyFont="1" applyFill="1" applyBorder="1" applyAlignment="1" applyProtection="1">
      <alignment horizontal="center" vertical="center"/>
      <protection/>
    </xf>
    <xf numFmtId="2" fontId="6" fillId="34" borderId="24" xfId="0" applyNumberFormat="1" applyFont="1" applyFill="1" applyBorder="1" applyAlignment="1" applyProtection="1">
      <alignment horizontal="center" vertical="center"/>
      <protection/>
    </xf>
    <xf numFmtId="0" fontId="6" fillId="34" borderId="118" xfId="0" applyFont="1" applyFill="1" applyBorder="1" applyAlignment="1" applyProtection="1">
      <alignment horizontal="center" vertical="center"/>
      <protection/>
    </xf>
    <xf numFmtId="0" fontId="6" fillId="34" borderId="119" xfId="0" applyFont="1" applyFill="1" applyBorder="1" applyAlignment="1" applyProtection="1">
      <alignment horizontal="center" vertical="center"/>
      <protection/>
    </xf>
    <xf numFmtId="165" fontId="6" fillId="34" borderId="119" xfId="0" applyNumberFormat="1" applyFont="1" applyFill="1" applyBorder="1" applyAlignment="1" applyProtection="1">
      <alignment horizontal="center" vertical="center"/>
      <protection/>
    </xf>
    <xf numFmtId="0" fontId="6" fillId="34" borderId="120" xfId="0" applyFont="1" applyFill="1" applyBorder="1" applyAlignment="1" applyProtection="1">
      <alignment horizontal="center" vertical="center"/>
      <protection/>
    </xf>
    <xf numFmtId="0" fontId="40" fillId="34" borderId="0" xfId="0" applyFont="1" applyFill="1" applyBorder="1" applyAlignment="1" applyProtection="1">
      <alignment vertical="center" wrapText="1"/>
      <protection/>
    </xf>
    <xf numFmtId="3" fontId="10" fillId="34" borderId="0" xfId="0" applyNumberFormat="1" applyFont="1" applyFill="1" applyBorder="1" applyAlignment="1" applyProtection="1">
      <alignment vertical="center"/>
      <protection locked="0"/>
    </xf>
    <xf numFmtId="0" fontId="8" fillId="34" borderId="0" xfId="0" applyFont="1" applyFill="1" applyBorder="1" applyAlignment="1">
      <alignment vertical="center" wrapText="1"/>
    </xf>
    <xf numFmtId="0" fontId="8" fillId="34" borderId="16" xfId="0" applyFont="1" applyFill="1" applyBorder="1" applyAlignment="1">
      <alignment horizontal="center" vertical="center" wrapText="1"/>
    </xf>
    <xf numFmtId="0" fontId="8" fillId="34" borderId="10" xfId="0" applyFont="1" applyFill="1" applyBorder="1" applyAlignment="1">
      <alignment vertical="center" wrapText="1"/>
    </xf>
    <xf numFmtId="0" fontId="6" fillId="34" borderId="16" xfId="0" applyFont="1" applyFill="1" applyBorder="1" applyAlignment="1">
      <alignment/>
    </xf>
    <xf numFmtId="0" fontId="8" fillId="34" borderId="143" xfId="0" applyFont="1" applyFill="1" applyBorder="1" applyAlignment="1">
      <alignment horizontal="right" vertical="center"/>
    </xf>
    <xf numFmtId="0" fontId="6" fillId="34" borderId="144" xfId="0" applyFont="1" applyFill="1" applyBorder="1" applyAlignment="1">
      <alignment/>
    </xf>
    <xf numFmtId="0" fontId="55" fillId="0" borderId="0" xfId="0" applyFont="1" applyFill="1" applyBorder="1" applyAlignment="1" applyProtection="1">
      <alignment vertical="center"/>
      <protection/>
    </xf>
    <xf numFmtId="0" fontId="72" fillId="0" borderId="0" xfId="0" applyFont="1" applyFill="1" applyBorder="1" applyAlignment="1" applyProtection="1">
      <alignment horizontal="left" vertical="center"/>
      <protection/>
    </xf>
    <xf numFmtId="0" fontId="56" fillId="0" borderId="0" xfId="0" applyFont="1" applyFill="1" applyBorder="1" applyAlignment="1" applyProtection="1">
      <alignment horizontal="center" vertical="center"/>
      <protection/>
    </xf>
    <xf numFmtId="4" fontId="57" fillId="0" borderId="0" xfId="0" applyNumberFormat="1" applyFont="1" applyFill="1" applyBorder="1" applyAlignment="1" applyProtection="1">
      <alignment horizontal="left" vertical="center"/>
      <protection/>
    </xf>
    <xf numFmtId="168" fontId="57" fillId="0" borderId="0" xfId="0" applyNumberFormat="1" applyFont="1" applyFill="1" applyBorder="1" applyAlignment="1" applyProtection="1">
      <alignment horizontal="left" vertical="center"/>
      <protection/>
    </xf>
    <xf numFmtId="0" fontId="57"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protection/>
    </xf>
    <xf numFmtId="0" fontId="26" fillId="34" borderId="29" xfId="0" applyNumberFormat="1" applyFont="1" applyFill="1" applyBorder="1" applyAlignment="1" applyProtection="1">
      <alignment horizontal="left" vertical="center"/>
      <protection/>
    </xf>
    <xf numFmtId="0" fontId="6" fillId="34" borderId="76" xfId="0" applyFont="1" applyFill="1" applyBorder="1" applyAlignment="1">
      <alignment horizontal="left" vertical="center"/>
    </xf>
    <xf numFmtId="0" fontId="78" fillId="0" borderId="0" xfId="0" applyFont="1" applyFill="1" applyBorder="1" applyAlignment="1" applyProtection="1">
      <alignment vertical="center"/>
      <protection/>
    </xf>
    <xf numFmtId="0" fontId="98" fillId="0" borderId="0" xfId="0" applyFont="1" applyFill="1" applyBorder="1" applyAlignment="1" applyProtection="1">
      <alignment horizontal="left" vertical="center"/>
      <protection/>
    </xf>
    <xf numFmtId="0" fontId="60" fillId="0" borderId="34" xfId="0" applyFont="1" applyFill="1" applyBorder="1" applyAlignment="1" applyProtection="1">
      <alignment horizontal="center" vertical="center"/>
      <protection/>
    </xf>
    <xf numFmtId="0" fontId="98" fillId="0" borderId="0" xfId="0" applyFont="1" applyFill="1" applyBorder="1" applyAlignment="1" applyProtection="1">
      <alignment horizontal="right" vertical="center"/>
      <protection/>
    </xf>
    <xf numFmtId="0" fontId="98" fillId="0" borderId="0" xfId="0" applyNumberFormat="1" applyFont="1" applyFill="1" applyBorder="1" applyAlignment="1" applyProtection="1">
      <alignment horizontal="left" vertical="center"/>
      <protection/>
    </xf>
    <xf numFmtId="169" fontId="6" fillId="34" borderId="10" xfId="0" applyNumberFormat="1" applyFont="1" applyFill="1" applyBorder="1" applyAlignment="1" applyProtection="1">
      <alignment horizontal="center" vertical="center"/>
      <protection/>
    </xf>
    <xf numFmtId="0" fontId="6" fillId="34" borderId="10" xfId="61" applyNumberFormat="1" applyFont="1" applyFill="1" applyBorder="1" applyAlignment="1" applyProtection="1">
      <alignment horizontal="center" vertical="center"/>
      <protection/>
    </xf>
    <xf numFmtId="0" fontId="0" fillId="0" borderId="36" xfId="0" applyFill="1" applyBorder="1" applyAlignment="1">
      <alignment wrapText="1"/>
    </xf>
    <xf numFmtId="0" fontId="2" fillId="0" borderId="40"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165" fontId="0" fillId="0" borderId="14" xfId="0" applyNumberFormat="1" applyFill="1" applyBorder="1" applyAlignment="1">
      <alignment/>
    </xf>
    <xf numFmtId="171" fontId="0" fillId="0" borderId="14" xfId="0" applyNumberFormat="1" applyFont="1" applyFill="1" applyBorder="1" applyAlignment="1">
      <alignment horizontal="right" vertical="center"/>
    </xf>
    <xf numFmtId="0" fontId="0" fillId="0" borderId="67" xfId="0" applyFill="1" applyBorder="1" applyAlignment="1">
      <alignment wrapText="1"/>
    </xf>
    <xf numFmtId="172" fontId="0" fillId="0" borderId="18" xfId="0" applyNumberFormat="1" applyFill="1" applyBorder="1" applyAlignment="1" applyProtection="1">
      <alignment/>
      <protection locked="0"/>
    </xf>
    <xf numFmtId="0" fontId="6" fillId="34" borderId="37" xfId="0" applyFont="1" applyFill="1" applyBorder="1" applyAlignment="1" applyProtection="1">
      <alignment vertical="center"/>
      <protection/>
    </xf>
    <xf numFmtId="0" fontId="6" fillId="34" borderId="145" xfId="0" applyFont="1" applyFill="1" applyBorder="1" applyAlignment="1" applyProtection="1">
      <alignment/>
      <protection/>
    </xf>
    <xf numFmtId="0" fontId="6" fillId="0" borderId="0" xfId="0" applyFont="1" applyFill="1" applyBorder="1" applyAlignment="1">
      <alignment horizontal="right" vertical="center"/>
    </xf>
    <xf numFmtId="11" fontId="6" fillId="0" borderId="0" xfId="0" applyNumberFormat="1" applyFont="1" applyFill="1" applyBorder="1" applyAlignment="1">
      <alignment horizontal="left" vertical="center"/>
    </xf>
    <xf numFmtId="11" fontId="6" fillId="0" borderId="0" xfId="0" applyNumberFormat="1" applyFont="1" applyFill="1" applyBorder="1" applyAlignment="1" applyProtection="1">
      <alignment horizontal="left" vertical="center"/>
      <protection/>
    </xf>
    <xf numFmtId="0" fontId="26" fillId="0" borderId="0" xfId="0" applyFont="1" applyFill="1" applyBorder="1" applyAlignment="1" applyProtection="1">
      <alignment vertical="center"/>
      <protection/>
    </xf>
    <xf numFmtId="0" fontId="55" fillId="0" borderId="0" xfId="0" applyFont="1" applyFill="1" applyBorder="1" applyAlignment="1" applyProtection="1">
      <alignment horizontal="left" vertical="center"/>
      <protection/>
    </xf>
    <xf numFmtId="0" fontId="48" fillId="0" borderId="0" xfId="0" applyFont="1" applyFill="1" applyBorder="1" applyAlignment="1" applyProtection="1">
      <alignment horizontal="left" vertical="center"/>
      <protection/>
    </xf>
    <xf numFmtId="0" fontId="6" fillId="34" borderId="0" xfId="0" applyFont="1" applyFill="1" applyBorder="1" applyAlignment="1" applyProtection="1">
      <alignment horizontal="left"/>
      <protection/>
    </xf>
    <xf numFmtId="0" fontId="6" fillId="34" borderId="104" xfId="0" applyFont="1" applyFill="1" applyBorder="1" applyAlignment="1" applyProtection="1">
      <alignment vertical="center"/>
      <protection/>
    </xf>
    <xf numFmtId="0" fontId="26" fillId="34" borderId="76" xfId="0" applyFont="1" applyFill="1" applyBorder="1" applyAlignment="1" applyProtection="1">
      <alignment vertical="center"/>
      <protection/>
    </xf>
    <xf numFmtId="0" fontId="6" fillId="34" borderId="138" xfId="0" applyFont="1" applyFill="1" applyBorder="1" applyAlignment="1" applyProtection="1">
      <alignment vertical="center"/>
      <protection/>
    </xf>
    <xf numFmtId="0" fontId="6" fillId="34" borderId="17" xfId="0" applyFont="1" applyFill="1" applyBorder="1" applyAlignment="1" applyProtection="1">
      <alignment horizontal="left"/>
      <protection/>
    </xf>
    <xf numFmtId="0" fontId="6" fillId="34" borderId="17" xfId="0" applyFont="1" applyFill="1" applyBorder="1" applyAlignment="1" applyProtection="1">
      <alignment/>
      <protection/>
    </xf>
    <xf numFmtId="0" fontId="6" fillId="34" borderId="146" xfId="0" applyFont="1" applyFill="1" applyBorder="1" applyAlignment="1" applyProtection="1">
      <alignment horizontal="left"/>
      <protection/>
    </xf>
    <xf numFmtId="0" fontId="6" fillId="34" borderId="146" xfId="0" applyFont="1" applyFill="1" applyBorder="1" applyAlignment="1" applyProtection="1">
      <alignment/>
      <protection/>
    </xf>
    <xf numFmtId="11" fontId="6" fillId="34" borderId="0" xfId="0" applyNumberFormat="1" applyFont="1" applyFill="1" applyBorder="1" applyAlignment="1" applyProtection="1">
      <alignment horizontal="left"/>
      <protection/>
    </xf>
    <xf numFmtId="0" fontId="40" fillId="0" borderId="60" xfId="0" applyNumberFormat="1" applyFont="1" applyFill="1" applyBorder="1" applyAlignment="1" applyProtection="1">
      <alignment horizontal="center" vertical="center"/>
      <protection locked="0"/>
    </xf>
    <xf numFmtId="0" fontId="47" fillId="34" borderId="0" xfId="0" applyFont="1" applyFill="1" applyBorder="1" applyAlignment="1" applyProtection="1">
      <alignment horizontal="left" vertical="center"/>
      <protection/>
    </xf>
    <xf numFmtId="0" fontId="42" fillId="39" borderId="0" xfId="0" applyFont="1" applyFill="1" applyBorder="1" applyAlignment="1">
      <alignment vertical="center"/>
    </xf>
    <xf numFmtId="0" fontId="8" fillId="34" borderId="48" xfId="0" applyFont="1" applyFill="1" applyBorder="1" applyAlignment="1">
      <alignment vertical="center" wrapText="1"/>
    </xf>
    <xf numFmtId="0" fontId="8" fillId="34" borderId="32" xfId="0" applyFont="1" applyFill="1" applyBorder="1" applyAlignment="1">
      <alignment vertical="center" wrapText="1"/>
    </xf>
    <xf numFmtId="0" fontId="48" fillId="37" borderId="0" xfId="0" applyFont="1" applyFill="1" applyBorder="1" applyAlignment="1" applyProtection="1">
      <alignment horizontal="center"/>
      <protection/>
    </xf>
    <xf numFmtId="0" fontId="48" fillId="37" borderId="0" xfId="0" applyFont="1" applyFill="1" applyAlignment="1" applyProtection="1">
      <alignment horizontal="center"/>
      <protection/>
    </xf>
    <xf numFmtId="0" fontId="8" fillId="34" borderId="134" xfId="0" applyFont="1" applyFill="1" applyBorder="1" applyAlignment="1">
      <alignment horizontal="center" vertical="center"/>
    </xf>
    <xf numFmtId="0" fontId="8" fillId="34" borderId="32" xfId="0" applyFont="1" applyFill="1" applyBorder="1" applyAlignment="1">
      <alignment horizontal="center" vertical="center"/>
    </xf>
    <xf numFmtId="11" fontId="0" fillId="0" borderId="10" xfId="0" applyNumberFormat="1" applyFill="1" applyBorder="1" applyAlignment="1">
      <alignment/>
    </xf>
    <xf numFmtId="166" fontId="0" fillId="0" borderId="17" xfId="0" applyNumberFormat="1" applyFill="1" applyBorder="1" applyAlignment="1">
      <alignment horizontal="center"/>
    </xf>
    <xf numFmtId="172" fontId="17" fillId="0" borderId="0" xfId="0" applyNumberFormat="1" applyFont="1" applyFill="1" applyAlignment="1">
      <alignment/>
    </xf>
    <xf numFmtId="175" fontId="0" fillId="0" borderId="20" xfId="0" applyNumberFormat="1" applyFill="1" applyBorder="1" applyAlignment="1">
      <alignment/>
    </xf>
    <xf numFmtId="0" fontId="26" fillId="37" borderId="16" xfId="0" applyFont="1" applyFill="1" applyBorder="1" applyAlignment="1" applyProtection="1">
      <alignment horizontal="left"/>
      <protection/>
    </xf>
    <xf numFmtId="0" fontId="26" fillId="37" borderId="38" xfId="0" applyFont="1" applyFill="1" applyBorder="1" applyAlignment="1" applyProtection="1">
      <alignment horizontal="left"/>
      <protection/>
    </xf>
    <xf numFmtId="0" fontId="26" fillId="37" borderId="24" xfId="0" applyFont="1" applyFill="1" applyBorder="1" applyAlignment="1" applyProtection="1">
      <alignment horizontal="left"/>
      <protection/>
    </xf>
    <xf numFmtId="0" fontId="77" fillId="37" borderId="16" xfId="0" applyFont="1" applyFill="1" applyBorder="1" applyAlignment="1" applyProtection="1">
      <alignment horizontal="left"/>
      <protection/>
    </xf>
    <xf numFmtId="0" fontId="78" fillId="37" borderId="16" xfId="0" applyFont="1" applyFill="1" applyBorder="1" applyAlignment="1" applyProtection="1">
      <alignment horizontal="left"/>
      <protection/>
    </xf>
    <xf numFmtId="0" fontId="78" fillId="37" borderId="24" xfId="0" applyFont="1" applyFill="1" applyBorder="1" applyAlignment="1" applyProtection="1">
      <alignment horizontal="left"/>
      <protection/>
    </xf>
    <xf numFmtId="0" fontId="79" fillId="37" borderId="0" xfId="0" applyFont="1" applyFill="1" applyBorder="1" applyAlignment="1" applyProtection="1">
      <alignment horizontal="center" vertical="center" wrapText="1"/>
      <protection/>
    </xf>
    <xf numFmtId="0" fontId="141" fillId="37" borderId="16" xfId="0" applyFont="1" applyFill="1" applyBorder="1" applyAlignment="1" applyProtection="1">
      <alignment horizontal="center" vertical="center" wrapText="1"/>
      <protection/>
    </xf>
    <xf numFmtId="0" fontId="79" fillId="37" borderId="0" xfId="0" applyFont="1" applyFill="1" applyAlignment="1" applyProtection="1">
      <alignment horizontal="center" vertical="center" wrapText="1"/>
      <protection/>
    </xf>
    <xf numFmtId="0" fontId="79" fillId="37" borderId="0" xfId="0" applyFont="1" applyFill="1" applyAlignment="1" applyProtection="1">
      <alignment vertical="center" wrapText="1"/>
      <protection/>
    </xf>
    <xf numFmtId="0" fontId="6" fillId="37" borderId="17" xfId="0" applyFont="1" applyFill="1" applyBorder="1" applyAlignment="1" applyProtection="1">
      <alignment horizontal="center" vertical="center" wrapText="1"/>
      <protection/>
    </xf>
    <xf numFmtId="0" fontId="6" fillId="37" borderId="38" xfId="0" applyFont="1" applyFill="1" applyBorder="1" applyAlignment="1" applyProtection="1">
      <alignment horizontal="center" vertical="center" wrapText="1"/>
      <protection/>
    </xf>
    <xf numFmtId="0" fontId="6" fillId="37" borderId="37" xfId="0" applyFont="1" applyFill="1" applyBorder="1" applyAlignment="1" applyProtection="1">
      <alignment horizontal="center" vertical="center" wrapText="1"/>
      <protection/>
    </xf>
    <xf numFmtId="0" fontId="6" fillId="37" borderId="17" xfId="0" applyFont="1" applyFill="1" applyBorder="1" applyAlignment="1" applyProtection="1">
      <alignment vertical="center" wrapText="1"/>
      <protection/>
    </xf>
    <xf numFmtId="0" fontId="57" fillId="34" borderId="0" xfId="0" applyNumberFormat="1" applyFont="1" applyFill="1" applyBorder="1" applyAlignment="1" applyProtection="1">
      <alignment horizontal="left" vertical="center"/>
      <protection/>
    </xf>
    <xf numFmtId="0" fontId="54" fillId="34" borderId="0" xfId="0" applyFont="1" applyFill="1" applyBorder="1" applyAlignment="1">
      <alignment/>
    </xf>
    <xf numFmtId="0" fontId="27" fillId="34" borderId="0" xfId="0" applyFont="1" applyFill="1" applyBorder="1" applyAlignment="1">
      <alignment horizontal="center"/>
    </xf>
    <xf numFmtId="0" fontId="8" fillId="34" borderId="0" xfId="0" applyFont="1" applyFill="1" applyBorder="1" applyAlignment="1">
      <alignment horizontal="center"/>
    </xf>
    <xf numFmtId="0" fontId="19" fillId="38" borderId="116" xfId="0" applyNumberFormat="1" applyFont="1" applyFill="1" applyBorder="1" applyAlignment="1" applyProtection="1">
      <alignment horizontal="center" vertical="center"/>
      <protection/>
    </xf>
    <xf numFmtId="0" fontId="19" fillId="38" borderId="95" xfId="0" applyNumberFormat="1" applyFont="1" applyFill="1" applyBorder="1" applyAlignment="1" applyProtection="1">
      <alignment horizontal="center" vertical="center"/>
      <protection/>
    </xf>
    <xf numFmtId="0" fontId="19" fillId="38" borderId="147" xfId="0" applyNumberFormat="1" applyFont="1" applyFill="1" applyBorder="1" applyAlignment="1" applyProtection="1">
      <alignment horizontal="center" vertical="center"/>
      <protection/>
    </xf>
    <xf numFmtId="0" fontId="19" fillId="38" borderId="117" xfId="0" applyNumberFormat="1" applyFont="1" applyFill="1" applyBorder="1" applyAlignment="1" applyProtection="1">
      <alignment horizontal="center" vertical="center"/>
      <protection/>
    </xf>
    <xf numFmtId="11" fontId="19" fillId="38" borderId="95" xfId="0" applyNumberFormat="1" applyFont="1" applyFill="1" applyBorder="1" applyAlignment="1" applyProtection="1">
      <alignment horizontal="center" vertical="center"/>
      <protection/>
    </xf>
    <xf numFmtId="11" fontId="19" fillId="38" borderId="117" xfId="0" applyNumberFormat="1" applyFont="1" applyFill="1" applyBorder="1" applyAlignment="1" applyProtection="1">
      <alignment horizontal="center" vertical="center"/>
      <protection/>
    </xf>
    <xf numFmtId="11" fontId="19" fillId="38" borderId="148" xfId="0" applyNumberFormat="1" applyFont="1" applyFill="1" applyBorder="1" applyAlignment="1" applyProtection="1">
      <alignment horizontal="center" vertical="center"/>
      <protection/>
    </xf>
    <xf numFmtId="11" fontId="19" fillId="38" borderId="149" xfId="0" applyNumberFormat="1" applyFont="1" applyFill="1" applyBorder="1" applyAlignment="1" applyProtection="1">
      <alignment horizontal="center" vertical="center"/>
      <protection/>
    </xf>
    <xf numFmtId="11" fontId="19" fillId="34" borderId="95" xfId="0" applyNumberFormat="1" applyFont="1" applyFill="1" applyBorder="1" applyAlignment="1" applyProtection="1">
      <alignment horizontal="center" vertical="center"/>
      <protection/>
    </xf>
    <xf numFmtId="11" fontId="19" fillId="34" borderId="116" xfId="0" applyNumberFormat="1" applyFont="1" applyFill="1" applyBorder="1" applyAlignment="1" applyProtection="1">
      <alignment horizontal="center" vertical="center"/>
      <protection/>
    </xf>
    <xf numFmtId="11" fontId="19" fillId="34" borderId="148" xfId="0" applyNumberFormat="1" applyFont="1" applyFill="1" applyBorder="1" applyAlignment="1" applyProtection="1">
      <alignment horizontal="center" vertical="center"/>
      <protection/>
    </xf>
    <xf numFmtId="11" fontId="19" fillId="34" borderId="147" xfId="0" applyNumberFormat="1" applyFont="1" applyFill="1" applyBorder="1" applyAlignment="1" applyProtection="1">
      <alignment horizontal="center" vertical="center"/>
      <protection/>
    </xf>
    <xf numFmtId="0" fontId="19" fillId="34" borderId="101" xfId="0" applyNumberFormat="1" applyFont="1" applyFill="1" applyBorder="1" applyAlignment="1" applyProtection="1">
      <alignment horizontal="center" vertical="center"/>
      <protection/>
    </xf>
    <xf numFmtId="0" fontId="19" fillId="38" borderId="150" xfId="0" applyNumberFormat="1" applyFont="1" applyFill="1" applyBorder="1" applyAlignment="1" applyProtection="1">
      <alignment horizontal="center"/>
      <protection/>
    </xf>
    <xf numFmtId="0" fontId="19" fillId="38" borderId="151" xfId="0" applyNumberFormat="1" applyFont="1" applyFill="1" applyBorder="1" applyAlignment="1" applyProtection="1">
      <alignment horizontal="center"/>
      <protection/>
    </xf>
    <xf numFmtId="0" fontId="19" fillId="38" borderId="152" xfId="0" applyNumberFormat="1" applyFont="1" applyFill="1" applyBorder="1" applyAlignment="1" applyProtection="1">
      <alignment horizontal="center"/>
      <protection/>
    </xf>
    <xf numFmtId="0" fontId="19" fillId="38" borderId="153" xfId="0" applyNumberFormat="1" applyFont="1" applyFill="1" applyBorder="1" applyAlignment="1" applyProtection="1">
      <alignment horizontal="center"/>
      <protection/>
    </xf>
    <xf numFmtId="0" fontId="19" fillId="38" borderId="154" xfId="0" applyNumberFormat="1" applyFont="1" applyFill="1" applyBorder="1" applyAlignment="1" applyProtection="1">
      <alignment horizontal="center"/>
      <protection/>
    </xf>
    <xf numFmtId="11" fontId="19" fillId="38" borderId="150" xfId="0" applyNumberFormat="1" applyFont="1" applyFill="1" applyBorder="1" applyAlignment="1" applyProtection="1">
      <alignment horizontal="center"/>
      <protection/>
    </xf>
    <xf numFmtId="2" fontId="19" fillId="38" borderId="153" xfId="0" applyNumberFormat="1" applyFont="1" applyFill="1" applyBorder="1" applyAlignment="1" applyProtection="1">
      <alignment horizontal="center"/>
      <protection/>
    </xf>
    <xf numFmtId="11" fontId="19" fillId="38" borderId="151" xfId="0" applyNumberFormat="1" applyFont="1" applyFill="1" applyBorder="1" applyAlignment="1" applyProtection="1">
      <alignment horizontal="center"/>
      <protection/>
    </xf>
    <xf numFmtId="169" fontId="19" fillId="38" borderId="154" xfId="0" applyNumberFormat="1" applyFont="1" applyFill="1" applyBorder="1" applyAlignment="1" applyProtection="1">
      <alignment horizontal="center"/>
      <protection/>
    </xf>
    <xf numFmtId="169" fontId="19" fillId="38" borderId="155" xfId="0" applyNumberFormat="1" applyFont="1" applyFill="1" applyBorder="1" applyAlignment="1" applyProtection="1">
      <alignment horizontal="center"/>
      <protection/>
    </xf>
    <xf numFmtId="169" fontId="19" fillId="34" borderId="154" xfId="0" applyNumberFormat="1" applyFont="1" applyFill="1" applyBorder="1" applyAlignment="1" applyProtection="1">
      <alignment horizontal="center"/>
      <protection/>
    </xf>
    <xf numFmtId="11" fontId="19" fillId="34" borderId="154" xfId="0" applyNumberFormat="1" applyFont="1" applyFill="1" applyBorder="1" applyAlignment="1" applyProtection="1">
      <alignment horizontal="center"/>
      <protection/>
    </xf>
    <xf numFmtId="11" fontId="19" fillId="34" borderId="150" xfId="0" applyNumberFormat="1" applyFont="1" applyFill="1" applyBorder="1" applyAlignment="1" applyProtection="1">
      <alignment horizontal="center"/>
      <protection/>
    </xf>
    <xf numFmtId="11" fontId="19" fillId="34" borderId="152" xfId="0" applyNumberFormat="1" applyFont="1" applyFill="1" applyBorder="1" applyAlignment="1" applyProtection="1">
      <alignment horizontal="center"/>
      <protection/>
    </xf>
    <xf numFmtId="0" fontId="19" fillId="34" borderId="156" xfId="0" applyNumberFormat="1" applyFont="1" applyFill="1" applyBorder="1" applyAlignment="1" applyProtection="1">
      <alignment horizontal="center"/>
      <protection/>
    </xf>
    <xf numFmtId="0" fontId="0" fillId="41" borderId="0" xfId="0" applyFill="1" applyAlignment="1" applyProtection="1">
      <alignment horizontal="center"/>
      <protection/>
    </xf>
    <xf numFmtId="0" fontId="0" fillId="41" borderId="0" xfId="0" applyFill="1" applyAlignment="1" applyProtection="1">
      <alignment horizontal="center" vertical="center"/>
      <protection/>
    </xf>
    <xf numFmtId="0" fontId="6" fillId="41" borderId="0" xfId="0" applyFont="1" applyFill="1" applyAlignment="1" applyProtection="1">
      <alignment horizontal="center"/>
      <protection/>
    </xf>
    <xf numFmtId="0" fontId="6" fillId="41" borderId="0" xfId="0" applyFont="1" applyFill="1" applyBorder="1" applyAlignment="1" applyProtection="1">
      <alignment horizontal="center"/>
      <protection/>
    </xf>
    <xf numFmtId="3" fontId="55" fillId="0" borderId="23" xfId="0" applyNumberFormat="1" applyFont="1" applyFill="1" applyBorder="1" applyAlignment="1" applyProtection="1">
      <alignment horizontal="center"/>
      <protection/>
    </xf>
    <xf numFmtId="0" fontId="6" fillId="41" borderId="0" xfId="0" applyFont="1" applyFill="1" applyBorder="1" applyAlignment="1" applyProtection="1">
      <alignment horizontal="center" vertical="center" wrapText="1"/>
      <protection/>
    </xf>
    <xf numFmtId="0" fontId="79" fillId="41" borderId="0" xfId="0" applyFont="1" applyFill="1" applyBorder="1" applyAlignment="1" applyProtection="1">
      <alignment horizontal="center" wrapText="1"/>
      <protection/>
    </xf>
    <xf numFmtId="0" fontId="6" fillId="41" borderId="0" xfId="0" applyFont="1" applyFill="1" applyBorder="1" applyAlignment="1" applyProtection="1">
      <alignment horizontal="center" wrapText="1"/>
      <protection/>
    </xf>
    <xf numFmtId="0" fontId="6" fillId="34" borderId="94" xfId="0" applyFont="1" applyFill="1" applyBorder="1" applyAlignment="1" applyProtection="1">
      <alignment horizontal="left" vertical="center"/>
      <protection/>
    </xf>
    <xf numFmtId="0" fontId="6" fillId="34" borderId="25" xfId="0" applyFont="1" applyFill="1" applyBorder="1" applyAlignment="1" applyProtection="1">
      <alignment horizontal="left" vertical="center"/>
      <protection/>
    </xf>
    <xf numFmtId="0" fontId="6" fillId="34" borderId="10" xfId="0" applyFont="1" applyFill="1" applyBorder="1" applyAlignment="1" applyProtection="1">
      <alignment horizontal="left"/>
      <protection/>
    </xf>
    <xf numFmtId="0" fontId="6" fillId="34" borderId="150" xfId="0" applyFont="1" applyFill="1" applyBorder="1" applyAlignment="1" applyProtection="1">
      <alignment horizontal="left"/>
      <protection/>
    </xf>
    <xf numFmtId="0" fontId="6" fillId="34" borderId="25" xfId="0" applyFont="1" applyFill="1" applyBorder="1" applyAlignment="1" applyProtection="1">
      <alignment horizontal="left"/>
      <protection/>
    </xf>
    <xf numFmtId="0" fontId="6" fillId="34" borderId="25" xfId="0" applyFont="1" applyFill="1" applyBorder="1" applyAlignment="1">
      <alignment horizontal="left" vertical="center"/>
    </xf>
    <xf numFmtId="0" fontId="26" fillId="34" borderId="10" xfId="0" applyFont="1" applyFill="1" applyBorder="1" applyAlignment="1" applyProtection="1">
      <alignment horizontal="left" vertical="center"/>
      <protection/>
    </xf>
    <xf numFmtId="0" fontId="26" fillId="34" borderId="37" xfId="0" applyFont="1" applyFill="1" applyBorder="1" applyAlignment="1" applyProtection="1">
      <alignment horizontal="left" vertical="center"/>
      <protection/>
    </xf>
    <xf numFmtId="0" fontId="26" fillId="34" borderId="25" xfId="0" applyFont="1" applyFill="1" applyBorder="1" applyAlignment="1" applyProtection="1">
      <alignment horizontal="left" vertical="center"/>
      <protection/>
    </xf>
    <xf numFmtId="0" fontId="6" fillId="34" borderId="136" xfId="0" applyFont="1" applyFill="1" applyBorder="1" applyAlignment="1">
      <alignment horizontal="left" vertical="center"/>
    </xf>
    <xf numFmtId="0" fontId="6" fillId="34" borderId="107" xfId="0" applyFont="1" applyFill="1" applyBorder="1" applyAlignment="1">
      <alignment horizontal="left" vertical="center"/>
    </xf>
    <xf numFmtId="11" fontId="26" fillId="0" borderId="0" xfId="0" applyNumberFormat="1" applyFont="1" applyFill="1" applyBorder="1" applyAlignment="1">
      <alignment horizontal="center" vertical="center"/>
    </xf>
    <xf numFmtId="0" fontId="26" fillId="0" borderId="0" xfId="0" applyFont="1" applyFill="1" applyBorder="1" applyAlignment="1">
      <alignment horizontal="right" vertical="center"/>
    </xf>
    <xf numFmtId="0" fontId="1" fillId="0" borderId="75" xfId="0" applyFont="1" applyFill="1" applyBorder="1" applyAlignment="1">
      <alignment/>
    </xf>
    <xf numFmtId="0" fontId="1" fillId="0" borderId="36" xfId="0" applyFont="1" applyFill="1" applyBorder="1" applyAlignment="1">
      <alignment/>
    </xf>
    <xf numFmtId="1" fontId="1" fillId="0" borderId="0" xfId="0" applyNumberFormat="1" applyFont="1" applyFill="1" applyBorder="1" applyAlignment="1">
      <alignment horizontal="left"/>
    </xf>
    <xf numFmtId="1" fontId="1" fillId="0" borderId="54" xfId="0" applyNumberFormat="1" applyFont="1" applyFill="1" applyBorder="1" applyAlignment="1">
      <alignment horizontal="left"/>
    </xf>
    <xf numFmtId="0" fontId="40" fillId="0" borderId="0" xfId="0" applyFont="1" applyFill="1" applyBorder="1" applyAlignment="1">
      <alignment horizontal="center" wrapText="1"/>
    </xf>
    <xf numFmtId="0" fontId="40" fillId="0" borderId="10" xfId="0" applyFont="1" applyFill="1" applyBorder="1" applyAlignment="1">
      <alignment horizontal="center" wrapText="1"/>
    </xf>
    <xf numFmtId="0" fontId="40" fillId="0" borderId="157" xfId="0" applyFont="1" applyFill="1" applyBorder="1" applyAlignment="1">
      <alignment horizontal="center" wrapText="1"/>
    </xf>
    <xf numFmtId="0" fontId="14" fillId="0" borderId="14" xfId="0" applyFont="1" applyFill="1" applyBorder="1" applyAlignment="1">
      <alignment horizontal="center" wrapText="1"/>
    </xf>
    <xf numFmtId="0" fontId="14" fillId="0" borderId="16" xfId="0" applyFont="1" applyFill="1" applyBorder="1" applyAlignment="1">
      <alignment horizontal="center" wrapText="1"/>
    </xf>
    <xf numFmtId="0" fontId="14" fillId="0" borderId="0" xfId="0" applyFont="1" applyFill="1" applyBorder="1" applyAlignment="1">
      <alignment horizontal="center" wrapText="1"/>
    </xf>
    <xf numFmtId="0" fontId="14" fillId="0" borderId="22" xfId="0" applyFont="1" applyFill="1" applyBorder="1" applyAlignment="1">
      <alignment horizontal="center" wrapText="1"/>
    </xf>
    <xf numFmtId="0" fontId="14" fillId="0" borderId="0" xfId="0" applyFont="1" applyFill="1" applyAlignment="1">
      <alignment horizontal="center" wrapText="1"/>
    </xf>
    <xf numFmtId="0" fontId="14" fillId="0" borderId="124" xfId="0" applyFont="1" applyFill="1" applyBorder="1" applyAlignment="1">
      <alignment horizontal="center" wrapText="1"/>
    </xf>
    <xf numFmtId="0" fontId="40" fillId="0" borderId="124" xfId="0" applyFont="1" applyFill="1" applyBorder="1" applyAlignment="1">
      <alignment horizontal="center" wrapText="1"/>
    </xf>
    <xf numFmtId="0" fontId="14" fillId="0" borderId="10" xfId="0" applyFont="1" applyFill="1" applyBorder="1" applyAlignment="1">
      <alignment horizontal="center" wrapText="1"/>
    </xf>
    <xf numFmtId="0" fontId="14" fillId="0" borderId="42" xfId="0" applyFont="1" applyFill="1" applyBorder="1" applyAlignment="1">
      <alignment horizontal="center" wrapText="1"/>
    </xf>
    <xf numFmtId="0" fontId="14" fillId="0" borderId="14" xfId="0" applyFont="1" applyFill="1" applyBorder="1" applyAlignment="1">
      <alignment horizontal="center" wrapText="1"/>
    </xf>
    <xf numFmtId="0" fontId="14" fillId="0" borderId="44" xfId="0" applyFont="1" applyFill="1" applyBorder="1" applyAlignment="1">
      <alignment horizontal="center" wrapText="1"/>
    </xf>
    <xf numFmtId="0" fontId="19" fillId="0" borderId="20" xfId="0" applyFont="1" applyFill="1" applyBorder="1" applyAlignment="1">
      <alignment horizontal="left"/>
    </xf>
    <xf numFmtId="0" fontId="22" fillId="0" borderId="13" xfId="0" applyFont="1" applyFill="1" applyBorder="1" applyAlignment="1">
      <alignment/>
    </xf>
    <xf numFmtId="0" fontId="23" fillId="0" borderId="158" xfId="0" applyFont="1" applyFill="1" applyBorder="1" applyAlignment="1">
      <alignment horizontal="center"/>
    </xf>
    <xf numFmtId="0" fontId="23" fillId="0" borderId="159" xfId="0" applyFont="1" applyFill="1" applyBorder="1" applyAlignment="1">
      <alignment horizontal="center"/>
    </xf>
    <xf numFmtId="0" fontId="23" fillId="0" borderId="12" xfId="0" applyFont="1" applyFill="1" applyBorder="1" applyAlignment="1">
      <alignment horizontal="center"/>
    </xf>
    <xf numFmtId="10" fontId="23" fillId="0" borderId="160" xfId="0" applyNumberFormat="1" applyFont="1" applyFill="1" applyBorder="1" applyAlignment="1">
      <alignment horizontal="center"/>
    </xf>
    <xf numFmtId="10" fontId="0" fillId="0" borderId="0" xfId="0" applyNumberFormat="1" applyFill="1" applyAlignment="1">
      <alignment/>
    </xf>
    <xf numFmtId="10" fontId="6" fillId="0" borderId="13" xfId="0" applyNumberFormat="1" applyFont="1" applyFill="1" applyBorder="1" applyAlignment="1">
      <alignment/>
    </xf>
    <xf numFmtId="10" fontId="23" fillId="0" borderId="158" xfId="0" applyNumberFormat="1" applyFont="1" applyFill="1" applyBorder="1" applyAlignment="1">
      <alignment horizontal="center"/>
    </xf>
    <xf numFmtId="0" fontId="1" fillId="0" borderId="12" xfId="0" applyFont="1" applyFill="1" applyBorder="1" applyAlignment="1">
      <alignment horizontal="center" wrapText="1"/>
    </xf>
    <xf numFmtId="0" fontId="1" fillId="0" borderId="43" xfId="0" applyFont="1" applyFill="1" applyBorder="1" applyAlignment="1">
      <alignment horizontal="center" wrapText="1"/>
    </xf>
    <xf numFmtId="10" fontId="0" fillId="0" borderId="44" xfId="61" applyNumberFormat="1" applyFont="1" applyFill="1" applyBorder="1" applyAlignment="1" applyProtection="1">
      <alignment horizontal="center"/>
      <protection locked="0"/>
    </xf>
    <xf numFmtId="10" fontId="0" fillId="0" borderId="44" xfId="0" applyNumberFormat="1" applyFont="1" applyFill="1" applyBorder="1" applyAlignment="1">
      <alignment horizontal="center"/>
    </xf>
    <xf numFmtId="0" fontId="6" fillId="0" borderId="12" xfId="0" applyFont="1" applyFill="1" applyBorder="1" applyAlignment="1">
      <alignment/>
    </xf>
    <xf numFmtId="9" fontId="0" fillId="0" borderId="43" xfId="0" applyNumberFormat="1" applyFill="1" applyBorder="1" applyAlignment="1">
      <alignment horizontal="center"/>
    </xf>
    <xf numFmtId="10" fontId="0" fillId="0" borderId="43" xfId="0" applyNumberFormat="1" applyFill="1" applyBorder="1" applyAlignment="1">
      <alignment horizontal="center"/>
    </xf>
    <xf numFmtId="10" fontId="0" fillId="0" borderId="12" xfId="0" applyNumberFormat="1" applyFill="1" applyBorder="1" applyAlignment="1">
      <alignment horizontal="center"/>
    </xf>
    <xf numFmtId="0" fontId="14" fillId="0" borderId="34" xfId="0" applyFont="1" applyFill="1" applyBorder="1" applyAlignment="1">
      <alignment/>
    </xf>
    <xf numFmtId="0" fontId="14" fillId="0" borderId="34" xfId="0" applyFont="1" applyFill="1" applyBorder="1" applyAlignment="1">
      <alignment horizontal="center"/>
    </xf>
    <xf numFmtId="0" fontId="14" fillId="0" borderId="35" xfId="0" applyFont="1" applyFill="1" applyBorder="1" applyAlignment="1">
      <alignment wrapText="1"/>
    </xf>
    <xf numFmtId="0" fontId="14" fillId="0" borderId="33" xfId="0" applyFont="1" applyFill="1" applyBorder="1" applyAlignment="1">
      <alignment/>
    </xf>
    <xf numFmtId="0" fontId="14" fillId="0" borderId="35" xfId="0" applyFont="1" applyFill="1" applyBorder="1" applyAlignment="1">
      <alignment/>
    </xf>
    <xf numFmtId="0" fontId="14" fillId="0" borderId="46" xfId="0" applyFont="1" applyFill="1" applyBorder="1" applyAlignment="1">
      <alignment/>
    </xf>
    <xf numFmtId="0" fontId="14" fillId="0" borderId="21" xfId="0" applyFont="1" applyFill="1" applyBorder="1" applyAlignment="1">
      <alignment/>
    </xf>
    <xf numFmtId="0" fontId="14" fillId="0" borderId="45" xfId="0" applyFont="1" applyFill="1" applyBorder="1" applyAlignment="1">
      <alignment horizontal="center"/>
    </xf>
    <xf numFmtId="0" fontId="14" fillId="0" borderId="33" xfId="0" applyFont="1" applyFill="1" applyBorder="1" applyAlignment="1">
      <alignment horizontal="center"/>
    </xf>
    <xf numFmtId="0" fontId="14" fillId="0" borderId="35" xfId="0" applyFont="1" applyFill="1" applyBorder="1" applyAlignment="1">
      <alignment horizontal="center"/>
    </xf>
    <xf numFmtId="0" fontId="14" fillId="0" borderId="124" xfId="0" applyFont="1" applyFill="1" applyBorder="1" applyAlignment="1">
      <alignment horizontal="center"/>
    </xf>
    <xf numFmtId="0" fontId="14" fillId="0" borderId="34" xfId="0" applyFont="1" applyFill="1" applyBorder="1" applyAlignment="1">
      <alignment horizontal="left"/>
    </xf>
    <xf numFmtId="0" fontId="14" fillId="0" borderId="45" xfId="0" applyFont="1" applyFill="1" applyBorder="1" applyAlignment="1">
      <alignment/>
    </xf>
    <xf numFmtId="0" fontId="14" fillId="0" borderId="10" xfId="0" applyFont="1" applyFill="1" applyBorder="1" applyAlignment="1">
      <alignment/>
    </xf>
    <xf numFmtId="0" fontId="14" fillId="0" borderId="0" xfId="0" applyFont="1" applyFill="1" applyBorder="1" applyAlignment="1">
      <alignment/>
    </xf>
    <xf numFmtId="0" fontId="14" fillId="0" borderId="23" xfId="0" applyFont="1" applyFill="1" applyBorder="1" applyAlignment="1">
      <alignment/>
    </xf>
    <xf numFmtId="0" fontId="14" fillId="0" borderId="25" xfId="0" applyFont="1" applyFill="1" applyBorder="1" applyAlignment="1">
      <alignment/>
    </xf>
    <xf numFmtId="0" fontId="144" fillId="0" borderId="25" xfId="0" applyFont="1" applyFill="1" applyBorder="1" applyAlignment="1" quotePrefix="1">
      <alignment/>
    </xf>
    <xf numFmtId="0" fontId="14" fillId="0" borderId="56" xfId="0" applyFont="1" applyFill="1" applyBorder="1" applyAlignment="1">
      <alignment/>
    </xf>
    <xf numFmtId="0" fontId="14" fillId="0" borderId="57" xfId="0" applyFont="1" applyFill="1" applyBorder="1" applyAlignment="1">
      <alignment/>
    </xf>
    <xf numFmtId="0" fontId="14" fillId="0" borderId="58" xfId="0" applyFont="1" applyFill="1" applyBorder="1" applyAlignment="1">
      <alignment/>
    </xf>
    <xf numFmtId="0" fontId="14" fillId="0" borderId="59" xfId="0" applyFont="1" applyFill="1" applyBorder="1" applyAlignment="1">
      <alignment horizontal="center"/>
    </xf>
    <xf numFmtId="0" fontId="14" fillId="0" borderId="23" xfId="0" applyFont="1" applyFill="1" applyBorder="1" applyAlignment="1">
      <alignment horizontal="center"/>
    </xf>
    <xf numFmtId="0" fontId="14" fillId="0" borderId="61" xfId="0" applyFont="1" applyFill="1" applyBorder="1" applyAlignment="1">
      <alignment horizontal="center"/>
    </xf>
    <xf numFmtId="0" fontId="14" fillId="0" borderId="24" xfId="0" applyFont="1" applyFill="1" applyBorder="1" applyAlignment="1">
      <alignment/>
    </xf>
    <xf numFmtId="0" fontId="14" fillId="0" borderId="23" xfId="0" applyFont="1" applyFill="1" applyBorder="1" applyAlignment="1">
      <alignment horizontal="left"/>
    </xf>
    <xf numFmtId="0" fontId="14" fillId="0" borderId="26" xfId="0" applyFont="1" applyFill="1" applyBorder="1" applyAlignment="1">
      <alignment/>
    </xf>
    <xf numFmtId="0" fontId="14" fillId="0" borderId="59" xfId="0" applyFont="1" applyFill="1" applyBorder="1" applyAlignment="1">
      <alignment/>
    </xf>
    <xf numFmtId="0" fontId="14" fillId="0" borderId="60" xfId="0" applyFont="1" applyFill="1" applyBorder="1" applyAlignment="1">
      <alignment horizontal="center" wrapText="1"/>
    </xf>
    <xf numFmtId="0" fontId="1" fillId="0" borderId="60" xfId="0" applyFont="1" applyFill="1" applyBorder="1" applyAlignment="1">
      <alignment horizontal="center"/>
    </xf>
    <xf numFmtId="0" fontId="1" fillId="0" borderId="28" xfId="0" applyFont="1" applyFill="1" applyBorder="1" applyAlignment="1">
      <alignment/>
    </xf>
    <xf numFmtId="0" fontId="14" fillId="0" borderId="31" xfId="0" applyFont="1" applyFill="1" applyBorder="1" applyAlignment="1">
      <alignment/>
    </xf>
    <xf numFmtId="0" fontId="19" fillId="34" borderId="0" xfId="0" applyNumberFormat="1" applyFont="1" applyFill="1" applyBorder="1" applyAlignment="1" applyProtection="1">
      <alignment horizontal="center" vertical="center"/>
      <protection/>
    </xf>
    <xf numFmtId="0" fontId="19" fillId="34" borderId="23" xfId="0" applyNumberFormat="1" applyFont="1" applyFill="1" applyBorder="1" applyAlignment="1" applyProtection="1">
      <alignment horizontal="center" vertical="center"/>
      <protection/>
    </xf>
    <xf numFmtId="171" fontId="0" fillId="0" borderId="0" xfId="0" applyNumberFormat="1" applyFill="1" applyAlignment="1">
      <alignment/>
    </xf>
    <xf numFmtId="3" fontId="6" fillId="39" borderId="80" xfId="0" applyNumberFormat="1" applyFont="1" applyFill="1" applyBorder="1" applyAlignment="1">
      <alignment horizontal="center" vertical="center"/>
    </xf>
    <xf numFmtId="3" fontId="6" fillId="39" borderId="19" xfId="0" applyNumberFormat="1" applyFont="1" applyFill="1" applyBorder="1" applyAlignment="1">
      <alignment horizontal="center" vertical="center"/>
    </xf>
    <xf numFmtId="3" fontId="6" fillId="39" borderId="20" xfId="0" applyNumberFormat="1" applyFont="1" applyFill="1" applyBorder="1" applyAlignment="1">
      <alignment horizontal="center" vertical="center"/>
    </xf>
    <xf numFmtId="3" fontId="6" fillId="39" borderId="63" xfId="0" applyNumberFormat="1" applyFont="1" applyFill="1" applyBorder="1" applyAlignment="1">
      <alignment horizontal="center" vertical="center"/>
    </xf>
    <xf numFmtId="0" fontId="61" fillId="34" borderId="127" xfId="0" applyFont="1" applyFill="1" applyBorder="1" applyAlignment="1">
      <alignment vertical="top"/>
    </xf>
    <xf numFmtId="4" fontId="57" fillId="34" borderId="0" xfId="0" applyNumberFormat="1" applyFont="1" applyFill="1" applyBorder="1" applyAlignment="1">
      <alignment horizontal="left" vertical="center"/>
    </xf>
    <xf numFmtId="0" fontId="6" fillId="0" borderId="10" xfId="0" applyFont="1" applyFill="1" applyBorder="1" applyAlignment="1" applyProtection="1">
      <alignment horizontal="left" vertical="center"/>
      <protection/>
    </xf>
    <xf numFmtId="0" fontId="6" fillId="0" borderId="53" xfId="0" applyFont="1" applyFill="1" applyBorder="1" applyAlignment="1">
      <alignment/>
    </xf>
    <xf numFmtId="0" fontId="6" fillId="0" borderId="55" xfId="0" applyFont="1" applyFill="1" applyBorder="1" applyAlignment="1">
      <alignment/>
    </xf>
    <xf numFmtId="2" fontId="6" fillId="0" borderId="16" xfId="0" applyNumberFormat="1" applyFont="1" applyFill="1" applyBorder="1" applyAlignment="1">
      <alignment/>
    </xf>
    <xf numFmtId="2" fontId="6" fillId="0" borderId="24" xfId="0" applyNumberFormat="1" applyFont="1" applyFill="1" applyBorder="1" applyAlignment="1">
      <alignment/>
    </xf>
    <xf numFmtId="0" fontId="6" fillId="0" borderId="58" xfId="0" applyFont="1" applyFill="1" applyBorder="1" applyAlignment="1">
      <alignment/>
    </xf>
    <xf numFmtId="0" fontId="1" fillId="0" borderId="58" xfId="0" applyFont="1" applyFill="1" applyBorder="1" applyAlignment="1">
      <alignment/>
    </xf>
    <xf numFmtId="166" fontId="8" fillId="0" borderId="76" xfId="0" applyNumberFormat="1" applyFont="1" applyFill="1" applyBorder="1" applyAlignment="1">
      <alignment horizontal="left"/>
    </xf>
    <xf numFmtId="166" fontId="0" fillId="0" borderId="76" xfId="0" applyNumberFormat="1" applyFill="1" applyBorder="1" applyAlignment="1">
      <alignment/>
    </xf>
    <xf numFmtId="174" fontId="0" fillId="0" borderId="23" xfId="0" applyNumberFormat="1" applyFill="1" applyBorder="1" applyAlignment="1">
      <alignment/>
    </xf>
    <xf numFmtId="166" fontId="8" fillId="0" borderId="23" xfId="0" applyNumberFormat="1" applyFont="1" applyFill="1" applyBorder="1" applyAlignment="1">
      <alignment horizontal="left"/>
    </xf>
    <xf numFmtId="169" fontId="148" fillId="34" borderId="16" xfId="0" applyNumberFormat="1" applyFont="1" applyFill="1" applyBorder="1" applyAlignment="1" applyProtection="1">
      <alignment horizontal="center" vertical="center"/>
      <protection/>
    </xf>
    <xf numFmtId="11" fontId="148" fillId="38" borderId="27" xfId="0" applyNumberFormat="1" applyFont="1" applyFill="1" applyBorder="1" applyAlignment="1" applyProtection="1">
      <alignment horizontal="center" vertical="center"/>
      <protection/>
    </xf>
    <xf numFmtId="0" fontId="134" fillId="35" borderId="127" xfId="53" applyFont="1" applyFill="1" applyBorder="1" applyAlignment="1">
      <alignment/>
    </xf>
    <xf numFmtId="0" fontId="134" fillId="35" borderId="0" xfId="53" applyFont="1" applyFill="1" applyBorder="1" applyAlignment="1">
      <alignment/>
    </xf>
    <xf numFmtId="0" fontId="125" fillId="37" borderId="0" xfId="0" applyFont="1" applyFill="1" applyBorder="1" applyAlignment="1" applyProtection="1">
      <alignment horizontal="center"/>
      <protection/>
    </xf>
    <xf numFmtId="0" fontId="125" fillId="37" borderId="0" xfId="0" applyFont="1" applyFill="1" applyAlignment="1" applyProtection="1">
      <alignment horizontal="center"/>
      <protection/>
    </xf>
    <xf numFmtId="0" fontId="125" fillId="37" borderId="23" xfId="0" applyFont="1" applyFill="1" applyBorder="1" applyAlignment="1" applyProtection="1">
      <alignment horizontal="center"/>
      <protection/>
    </xf>
    <xf numFmtId="0" fontId="125" fillId="37" borderId="0" xfId="0" applyFont="1" applyFill="1" applyAlignment="1" applyProtection="1">
      <alignment horizontal="left" vertical="center"/>
      <protection/>
    </xf>
    <xf numFmtId="167" fontId="125" fillId="37" borderId="10" xfId="0" applyNumberFormat="1" applyFont="1" applyFill="1" applyBorder="1" applyAlignment="1" applyProtection="1">
      <alignment horizontal="center"/>
      <protection/>
    </xf>
    <xf numFmtId="166" fontId="125" fillId="37" borderId="0" xfId="0" applyNumberFormat="1" applyFont="1" applyFill="1" applyBorder="1" applyAlignment="1" applyProtection="1">
      <alignment horizontal="center"/>
      <protection/>
    </xf>
    <xf numFmtId="166" fontId="125" fillId="37" borderId="16" xfId="0" applyNumberFormat="1" applyFont="1" applyFill="1" applyBorder="1" applyAlignment="1" applyProtection="1">
      <alignment horizontal="center"/>
      <protection/>
    </xf>
    <xf numFmtId="0" fontId="125" fillId="37" borderId="23" xfId="0" applyNumberFormat="1" applyFont="1" applyFill="1" applyBorder="1" applyAlignment="1" applyProtection="1">
      <alignment horizontal="center"/>
      <protection/>
    </xf>
    <xf numFmtId="0" fontId="6" fillId="32" borderId="0" xfId="0" applyFont="1" applyFill="1" applyAlignment="1">
      <alignment vertical="center"/>
    </xf>
    <xf numFmtId="0" fontId="8" fillId="32" borderId="0" xfId="0" applyFont="1" applyFill="1" applyAlignment="1">
      <alignment vertical="center"/>
    </xf>
    <xf numFmtId="0" fontId="10" fillId="32" borderId="0" xfId="0" applyFont="1" applyFill="1" applyAlignment="1">
      <alignment vertical="center"/>
    </xf>
    <xf numFmtId="0" fontId="1" fillId="32" borderId="0" xfId="0" applyFont="1" applyFill="1" applyBorder="1" applyAlignment="1">
      <alignment vertical="center"/>
    </xf>
    <xf numFmtId="0" fontId="6" fillId="32" borderId="28" xfId="0" applyFont="1" applyFill="1" applyBorder="1" applyAlignment="1">
      <alignment vertical="center"/>
    </xf>
    <xf numFmtId="0" fontId="8" fillId="32" borderId="29" xfId="0" applyFont="1" applyFill="1" applyBorder="1" applyAlignment="1">
      <alignment vertical="center" wrapText="1"/>
    </xf>
    <xf numFmtId="0" fontId="8" fillId="32" borderId="31" xfId="0" applyFont="1" applyFill="1" applyBorder="1" applyAlignment="1">
      <alignment vertical="center"/>
    </xf>
    <xf numFmtId="0" fontId="6" fillId="32" borderId="161" xfId="0" applyFont="1" applyFill="1" applyBorder="1" applyAlignment="1">
      <alignment horizontal="left" vertical="center"/>
    </xf>
    <xf numFmtId="0" fontId="8" fillId="32" borderId="162" xfId="0" applyFont="1" applyFill="1" applyBorder="1" applyAlignment="1">
      <alignment vertical="center" wrapText="1"/>
    </xf>
    <xf numFmtId="4" fontId="8" fillId="32" borderId="163" xfId="0" applyNumberFormat="1" applyFont="1" applyFill="1" applyBorder="1" applyAlignment="1">
      <alignment vertical="center"/>
    </xf>
    <xf numFmtId="0" fontId="6" fillId="32" borderId="164" xfId="0" applyFont="1" applyFill="1" applyBorder="1" applyAlignment="1">
      <alignment horizontal="left" vertical="center"/>
    </xf>
    <xf numFmtId="0" fontId="8" fillId="32" borderId="165" xfId="0" applyFont="1" applyFill="1" applyBorder="1" applyAlignment="1">
      <alignment vertical="center" wrapText="1"/>
    </xf>
    <xf numFmtId="0" fontId="8" fillId="32" borderId="166" xfId="0" applyFont="1" applyFill="1" applyBorder="1" applyAlignment="1">
      <alignment vertical="center"/>
    </xf>
    <xf numFmtId="0" fontId="6" fillId="32" borderId="167" xfId="0" applyFont="1" applyFill="1" applyBorder="1" applyAlignment="1">
      <alignment horizontal="left" vertical="center"/>
    </xf>
    <xf numFmtId="0" fontId="8" fillId="32" borderId="167" xfId="0" applyFont="1" applyFill="1" applyBorder="1" applyAlignment="1">
      <alignment vertical="center" wrapText="1"/>
    </xf>
    <xf numFmtId="0" fontId="8" fillId="32" borderId="167" xfId="0" applyFont="1" applyFill="1" applyBorder="1" applyAlignment="1">
      <alignment vertical="center"/>
    </xf>
    <xf numFmtId="0" fontId="8" fillId="32" borderId="167" xfId="0" applyFont="1" applyFill="1" applyBorder="1" applyAlignment="1">
      <alignment horizontal="center" vertical="center"/>
    </xf>
    <xf numFmtId="0" fontId="26" fillId="32" borderId="168" xfId="0" applyFont="1" applyFill="1" applyBorder="1" applyAlignment="1">
      <alignment vertical="center"/>
    </xf>
    <xf numFmtId="0" fontId="26" fillId="32" borderId="169" xfId="0" applyFont="1" applyFill="1" applyBorder="1" applyAlignment="1">
      <alignment vertical="center"/>
    </xf>
    <xf numFmtId="11" fontId="26" fillId="32" borderId="170" xfId="0" applyNumberFormat="1" applyFont="1" applyFill="1" applyBorder="1" applyAlignment="1">
      <alignment horizontal="center" vertical="center"/>
    </xf>
    <xf numFmtId="11" fontId="26" fillId="32" borderId="171" xfId="0" applyNumberFormat="1" applyFont="1" applyFill="1" applyBorder="1" applyAlignment="1">
      <alignment horizontal="center" vertical="center"/>
    </xf>
    <xf numFmtId="11" fontId="26" fillId="32" borderId="172" xfId="0" applyNumberFormat="1" applyFont="1" applyFill="1" applyBorder="1" applyAlignment="1">
      <alignment horizontal="center" vertical="center"/>
    </xf>
    <xf numFmtId="11" fontId="6" fillId="32" borderId="171" xfId="0" applyNumberFormat="1" applyFont="1" applyFill="1" applyBorder="1" applyAlignment="1">
      <alignment horizontal="center" vertical="center"/>
    </xf>
    <xf numFmtId="0" fontId="26" fillId="32" borderId="93" xfId="0" applyFont="1" applyFill="1" applyBorder="1" applyAlignment="1">
      <alignment vertical="center"/>
    </xf>
    <xf numFmtId="0" fontId="26" fillId="32" borderId="115" xfId="0" applyFont="1" applyFill="1" applyBorder="1" applyAlignment="1">
      <alignment vertical="center"/>
    </xf>
    <xf numFmtId="11" fontId="26" fillId="32" borderId="114" xfId="0" applyNumberFormat="1" applyFont="1" applyFill="1" applyBorder="1" applyAlignment="1">
      <alignment horizontal="center" vertical="center"/>
    </xf>
    <xf numFmtId="11" fontId="26" fillId="32" borderId="107" xfId="0" applyNumberFormat="1" applyFont="1" applyFill="1" applyBorder="1" applyAlignment="1">
      <alignment horizontal="center" vertical="center"/>
    </xf>
    <xf numFmtId="11" fontId="26" fillId="32" borderId="108" xfId="0" applyNumberFormat="1" applyFont="1" applyFill="1" applyBorder="1" applyAlignment="1">
      <alignment horizontal="center" vertical="center"/>
    </xf>
    <xf numFmtId="11" fontId="26" fillId="32" borderId="173" xfId="0" applyNumberFormat="1" applyFont="1" applyFill="1" applyBorder="1" applyAlignment="1">
      <alignment horizontal="center" vertical="center"/>
    </xf>
    <xf numFmtId="11" fontId="6" fillId="32" borderId="174" xfId="0" applyNumberFormat="1" applyFont="1" applyFill="1" applyBorder="1" applyAlignment="1">
      <alignment horizontal="center" vertical="center"/>
    </xf>
    <xf numFmtId="11" fontId="26" fillId="32" borderId="174" xfId="0" applyNumberFormat="1" applyFont="1" applyFill="1" applyBorder="1" applyAlignment="1">
      <alignment horizontal="center" vertical="center"/>
    </xf>
    <xf numFmtId="11" fontId="26" fillId="32" borderId="175" xfId="0" applyNumberFormat="1" applyFont="1" applyFill="1" applyBorder="1" applyAlignment="1">
      <alignment horizontal="center" vertical="center"/>
    </xf>
    <xf numFmtId="0" fontId="26" fillId="32" borderId="136" xfId="0" applyFont="1" applyFill="1" applyBorder="1" applyAlignment="1">
      <alignment horizontal="center"/>
    </xf>
    <xf numFmtId="11" fontId="26" fillId="32" borderId="107" xfId="0" applyNumberFormat="1" applyFont="1" applyFill="1" applyBorder="1" applyAlignment="1">
      <alignment horizontal="center"/>
    </xf>
    <xf numFmtId="11" fontId="26" fillId="32" borderId="108" xfId="0" applyNumberFormat="1" applyFont="1" applyFill="1" applyBorder="1" applyAlignment="1">
      <alignment horizontal="center"/>
    </xf>
    <xf numFmtId="0" fontId="26" fillId="32" borderId="123" xfId="0" applyFont="1" applyFill="1" applyBorder="1" applyAlignment="1">
      <alignment vertical="center"/>
    </xf>
    <xf numFmtId="11" fontId="26" fillId="32" borderId="176" xfId="0" applyNumberFormat="1" applyFont="1" applyFill="1" applyBorder="1" applyAlignment="1">
      <alignment horizontal="center" vertical="center"/>
    </xf>
    <xf numFmtId="11" fontId="26" fillId="32" borderId="177" xfId="0" applyNumberFormat="1" applyFont="1" applyFill="1" applyBorder="1" applyAlignment="1">
      <alignment horizontal="center" vertical="center"/>
    </xf>
    <xf numFmtId="11" fontId="26" fillId="32" borderId="178" xfId="0" applyNumberFormat="1" applyFont="1" applyFill="1" applyBorder="1" applyAlignment="1">
      <alignment horizontal="center" vertical="center"/>
    </xf>
    <xf numFmtId="0" fontId="26" fillId="32" borderId="179" xfId="0" applyFont="1" applyFill="1" applyBorder="1" applyAlignment="1">
      <alignment vertical="center"/>
    </xf>
    <xf numFmtId="0" fontId="6" fillId="32" borderId="0" xfId="0" applyFont="1" applyFill="1" applyBorder="1" applyAlignment="1">
      <alignment vertical="center"/>
    </xf>
    <xf numFmtId="11" fontId="6" fillId="32" borderId="0" xfId="0" applyNumberFormat="1" applyFont="1" applyFill="1" applyBorder="1" applyAlignment="1">
      <alignment vertical="center"/>
    </xf>
    <xf numFmtId="11" fontId="6" fillId="32" borderId="0" xfId="0" applyNumberFormat="1" applyFont="1" applyFill="1" applyAlignment="1">
      <alignment vertical="center"/>
    </xf>
    <xf numFmtId="0" fontId="78" fillId="32" borderId="0" xfId="0" applyFont="1" applyFill="1" applyBorder="1" applyAlignment="1" applyProtection="1">
      <alignment horizontal="left"/>
      <protection/>
    </xf>
    <xf numFmtId="0" fontId="26" fillId="32" borderId="0" xfId="0" applyFont="1" applyFill="1" applyAlignment="1">
      <alignment vertical="center"/>
    </xf>
    <xf numFmtId="0" fontId="26" fillId="32" borderId="0" xfId="0" applyFont="1" applyFill="1" applyBorder="1" applyAlignment="1">
      <alignment vertical="center"/>
    </xf>
    <xf numFmtId="0" fontId="17" fillId="32" borderId="0" xfId="0" applyFont="1" applyFill="1" applyBorder="1" applyAlignment="1">
      <alignment vertical="center"/>
    </xf>
    <xf numFmtId="0" fontId="26" fillId="32" borderId="161" xfId="0" applyFont="1" applyFill="1" applyBorder="1" applyAlignment="1">
      <alignment horizontal="left" vertical="center"/>
    </xf>
    <xf numFmtId="0" fontId="26" fillId="32" borderId="162" xfId="0" applyFont="1" applyFill="1" applyBorder="1" applyAlignment="1">
      <alignment vertical="center"/>
    </xf>
    <xf numFmtId="0" fontId="26" fillId="32" borderId="163" xfId="0" applyFont="1" applyFill="1" applyBorder="1" applyAlignment="1">
      <alignment vertical="center"/>
    </xf>
    <xf numFmtId="168" fontId="27" fillId="32" borderId="0" xfId="0" applyNumberFormat="1" applyFont="1" applyFill="1" applyBorder="1" applyAlignment="1">
      <alignment vertical="center"/>
    </xf>
    <xf numFmtId="0" fontId="17" fillId="32" borderId="106" xfId="0" applyFont="1" applyFill="1" applyBorder="1" applyAlignment="1">
      <alignment vertical="center"/>
    </xf>
    <xf numFmtId="0" fontId="17" fillId="32" borderId="115" xfId="0" applyFont="1" applyFill="1" applyBorder="1" applyAlignment="1">
      <alignment vertical="center"/>
    </xf>
    <xf numFmtId="0" fontId="26" fillId="32" borderId="164" xfId="0" applyFont="1" applyFill="1" applyBorder="1" applyAlignment="1">
      <alignment horizontal="left" vertical="center"/>
    </xf>
    <xf numFmtId="0" fontId="26" fillId="32" borderId="165" xfId="0" applyFont="1" applyFill="1" applyBorder="1" applyAlignment="1">
      <alignment vertical="center"/>
    </xf>
    <xf numFmtId="0" fontId="26" fillId="32" borderId="166" xfId="0" applyFont="1" applyFill="1" applyBorder="1" applyAlignment="1">
      <alignment vertical="center"/>
    </xf>
    <xf numFmtId="2" fontId="27" fillId="32" borderId="0" xfId="0" applyNumberFormat="1" applyFont="1" applyFill="1" applyBorder="1" applyAlignment="1">
      <alignment horizontal="left" vertical="center"/>
    </xf>
    <xf numFmtId="0" fontId="26" fillId="32" borderId="32" xfId="0" applyFont="1" applyFill="1" applyBorder="1" applyAlignment="1">
      <alignment horizontal="left" vertical="center"/>
    </xf>
    <xf numFmtId="0" fontId="26" fillId="32" borderId="32" xfId="0" applyFont="1" applyFill="1" applyBorder="1" applyAlignment="1">
      <alignment vertical="center"/>
    </xf>
    <xf numFmtId="168" fontId="27" fillId="32" borderId="32" xfId="0" applyNumberFormat="1" applyFont="1" applyFill="1" applyBorder="1" applyAlignment="1">
      <alignment horizontal="center" vertical="center"/>
    </xf>
    <xf numFmtId="0" fontId="26" fillId="32" borderId="180" xfId="0" applyFont="1" applyFill="1" applyBorder="1" applyAlignment="1">
      <alignment horizontal="center" vertical="center" wrapText="1"/>
    </xf>
    <xf numFmtId="0" fontId="26" fillId="32" borderId="181" xfId="0" applyFont="1" applyFill="1" applyBorder="1" applyAlignment="1">
      <alignment horizontal="center" vertical="center" wrapText="1"/>
    </xf>
    <xf numFmtId="0" fontId="26" fillId="32" borderId="182" xfId="0" applyFont="1" applyFill="1" applyBorder="1" applyAlignment="1">
      <alignment horizontal="center" vertical="center" wrapText="1"/>
    </xf>
    <xf numFmtId="0" fontId="26" fillId="32" borderId="94" xfId="0" applyFont="1" applyFill="1" applyBorder="1" applyAlignment="1">
      <alignment vertical="center"/>
    </xf>
    <xf numFmtId="0" fontId="26" fillId="32" borderId="101" xfId="0" applyFont="1" applyFill="1" applyBorder="1" applyAlignment="1">
      <alignment vertical="center"/>
    </xf>
    <xf numFmtId="11" fontId="26" fillId="32" borderId="183" xfId="0" applyNumberFormat="1" applyFont="1" applyFill="1" applyBorder="1" applyAlignment="1">
      <alignment horizontal="center" vertical="center"/>
    </xf>
    <xf numFmtId="11" fontId="26" fillId="32" borderId="111" xfId="0" applyNumberFormat="1" applyFont="1" applyFill="1" applyBorder="1" applyAlignment="1">
      <alignment horizontal="center" vertical="center"/>
    </xf>
    <xf numFmtId="11" fontId="26" fillId="32" borderId="112" xfId="0" applyNumberFormat="1" applyFont="1" applyFill="1" applyBorder="1" applyAlignment="1">
      <alignment horizontal="center" vertical="center"/>
    </xf>
    <xf numFmtId="11" fontId="26" fillId="32" borderId="184" xfId="0" applyNumberFormat="1" applyFont="1" applyFill="1" applyBorder="1" applyAlignment="1">
      <alignment horizontal="center" vertical="center"/>
    </xf>
    <xf numFmtId="11" fontId="26" fillId="32" borderId="136" xfId="0" applyNumberFormat="1" applyFont="1" applyFill="1" applyBorder="1" applyAlignment="1">
      <alignment horizontal="center" vertical="center"/>
    </xf>
    <xf numFmtId="11" fontId="26" fillId="32" borderId="185" xfId="0" applyNumberFormat="1" applyFont="1" applyFill="1" applyBorder="1" applyAlignment="1">
      <alignment horizontal="center" vertical="center"/>
    </xf>
    <xf numFmtId="0" fontId="26" fillId="32" borderId="0" xfId="0" applyFont="1" applyFill="1" applyBorder="1" applyAlignment="1">
      <alignment vertical="center" wrapText="1"/>
    </xf>
    <xf numFmtId="0" fontId="26" fillId="32" borderId="94" xfId="0" applyFont="1" applyFill="1" applyBorder="1" applyAlignment="1">
      <alignment horizontal="left" vertical="center"/>
    </xf>
    <xf numFmtId="0" fontId="26" fillId="32" borderId="101" xfId="0" applyFont="1" applyFill="1" applyBorder="1" applyAlignment="1">
      <alignment horizontal="center" vertical="center"/>
    </xf>
    <xf numFmtId="0" fontId="26" fillId="32" borderId="179" xfId="0" applyFont="1" applyFill="1" applyBorder="1" applyAlignment="1">
      <alignment horizontal="left" vertical="center"/>
    </xf>
    <xf numFmtId="0" fontId="26" fillId="32" borderId="186" xfId="0" applyFont="1" applyFill="1" applyBorder="1" applyAlignment="1">
      <alignment horizontal="center" vertical="center"/>
    </xf>
    <xf numFmtId="11" fontId="26" fillId="32" borderId="137" xfId="0" applyNumberFormat="1" applyFont="1" applyFill="1" applyBorder="1" applyAlignment="1">
      <alignment horizontal="center" vertical="center"/>
    </xf>
    <xf numFmtId="11" fontId="26" fillId="32" borderId="109" xfId="0" applyNumberFormat="1" applyFont="1" applyFill="1" applyBorder="1" applyAlignment="1">
      <alignment horizontal="center" vertical="center"/>
    </xf>
    <xf numFmtId="11" fontId="26" fillId="32" borderId="110" xfId="0" applyNumberFormat="1" applyFont="1" applyFill="1" applyBorder="1" applyAlignment="1">
      <alignment horizontal="center" vertical="center"/>
    </xf>
    <xf numFmtId="11" fontId="26" fillId="32" borderId="187" xfId="0" applyNumberFormat="1" applyFont="1" applyFill="1" applyBorder="1" applyAlignment="1">
      <alignment horizontal="center" vertical="center"/>
    </xf>
    <xf numFmtId="43" fontId="26" fillId="32" borderId="0" xfId="42" applyFont="1" applyFill="1" applyBorder="1" applyAlignment="1">
      <alignment horizontal="left"/>
    </xf>
    <xf numFmtId="0" fontId="1" fillId="32" borderId="0" xfId="0" applyFont="1" applyFill="1" applyBorder="1" applyAlignment="1">
      <alignment/>
    </xf>
    <xf numFmtId="0" fontId="26" fillId="32" borderId="0" xfId="0" applyFont="1" applyFill="1" applyBorder="1" applyAlignment="1">
      <alignment horizontal="left" vertical="center"/>
    </xf>
    <xf numFmtId="0" fontId="26" fillId="32" borderId="0" xfId="0" applyFont="1" applyFill="1" applyBorder="1" applyAlignment="1">
      <alignment horizontal="center" vertical="center"/>
    </xf>
    <xf numFmtId="11" fontId="27" fillId="32" borderId="0" xfId="0" applyNumberFormat="1" applyFont="1" applyFill="1" applyBorder="1" applyAlignment="1">
      <alignment horizontal="center" vertical="center"/>
    </xf>
    <xf numFmtId="11" fontId="26" fillId="32" borderId="0" xfId="0" applyNumberFormat="1" applyFont="1" applyFill="1" applyBorder="1" applyAlignment="1">
      <alignment horizontal="center" vertical="center"/>
    </xf>
    <xf numFmtId="0" fontId="26" fillId="32" borderId="0" xfId="0" applyNumberFormat="1" applyFont="1" applyFill="1" applyBorder="1" applyAlignment="1">
      <alignment horizontal="center" vertical="center"/>
    </xf>
    <xf numFmtId="0" fontId="26" fillId="32" borderId="180" xfId="0" applyFont="1" applyFill="1" applyBorder="1" applyAlignment="1">
      <alignment horizontal="center" vertical="center"/>
    </xf>
    <xf numFmtId="0" fontId="26" fillId="32" borderId="181" xfId="0" applyFont="1" applyFill="1" applyBorder="1" applyAlignment="1">
      <alignment horizontal="center" vertical="center"/>
    </xf>
    <xf numFmtId="0" fontId="26" fillId="32" borderId="182" xfId="0" applyFont="1" applyFill="1" applyBorder="1" applyAlignment="1">
      <alignment horizontal="center" vertical="center"/>
    </xf>
    <xf numFmtId="0" fontId="26" fillId="32" borderId="25" xfId="0" applyFont="1" applyFill="1" applyBorder="1" applyAlignment="1">
      <alignment horizontal="left" vertical="center"/>
    </xf>
    <xf numFmtId="0" fontId="26" fillId="32" borderId="24" xfId="0" applyFont="1" applyFill="1" applyBorder="1" applyAlignment="1">
      <alignment horizontal="center" vertical="center"/>
    </xf>
    <xf numFmtId="11" fontId="26" fillId="32" borderId="188" xfId="0" applyNumberFormat="1" applyFont="1" applyFill="1" applyBorder="1" applyAlignment="1">
      <alignment horizontal="center" vertical="center"/>
    </xf>
    <xf numFmtId="11" fontId="26" fillId="32" borderId="189" xfId="0" applyNumberFormat="1" applyFont="1" applyFill="1" applyBorder="1" applyAlignment="1">
      <alignment horizontal="center" vertical="center"/>
    </xf>
    <xf numFmtId="11" fontId="27" fillId="32" borderId="61" xfId="0" applyNumberFormat="1" applyFont="1" applyFill="1" applyBorder="1" applyAlignment="1">
      <alignment horizontal="center" vertical="center"/>
    </xf>
    <xf numFmtId="0" fontId="125" fillId="37" borderId="16" xfId="0" applyFont="1" applyFill="1" applyBorder="1" applyAlignment="1" applyProtection="1">
      <alignment horizontal="left"/>
      <protection/>
    </xf>
    <xf numFmtId="0" fontId="116" fillId="37" borderId="0" xfId="0" applyFont="1" applyFill="1" applyAlignment="1" applyProtection="1">
      <alignment horizontal="left"/>
      <protection/>
    </xf>
    <xf numFmtId="11" fontId="96" fillId="38" borderId="27" xfId="0" applyNumberFormat="1" applyFont="1" applyFill="1" applyBorder="1" applyAlignment="1" applyProtection="1">
      <alignment horizontal="center" vertical="center"/>
      <protection/>
    </xf>
    <xf numFmtId="0" fontId="6" fillId="0" borderId="37" xfId="0" applyNumberFormat="1" applyFont="1" applyFill="1" applyBorder="1" applyAlignment="1">
      <alignment horizontal="center"/>
    </xf>
    <xf numFmtId="0" fontId="6" fillId="0" borderId="17" xfId="0" applyNumberFormat="1" applyFont="1" applyFill="1" applyBorder="1" applyAlignment="1">
      <alignment/>
    </xf>
    <xf numFmtId="2" fontId="6" fillId="0" borderId="38" xfId="0" applyNumberFormat="1" applyFont="1" applyFill="1" applyBorder="1" applyAlignment="1">
      <alignment/>
    </xf>
    <xf numFmtId="0" fontId="6" fillId="0" borderId="38" xfId="0" applyFont="1" applyFill="1" applyBorder="1" applyAlignment="1">
      <alignment/>
    </xf>
    <xf numFmtId="169" fontId="96" fillId="34" borderId="16" xfId="0" applyNumberFormat="1" applyFont="1" applyFill="1" applyBorder="1" applyAlignment="1" applyProtection="1">
      <alignment horizontal="center" vertical="center"/>
      <protection/>
    </xf>
    <xf numFmtId="0" fontId="26" fillId="32" borderId="186" xfId="0" applyFont="1" applyFill="1" applyBorder="1" applyAlignment="1">
      <alignment vertical="center"/>
    </xf>
    <xf numFmtId="11" fontId="26" fillId="32" borderId="190" xfId="0" applyNumberFormat="1" applyFont="1" applyFill="1" applyBorder="1" applyAlignment="1">
      <alignment horizontal="center" vertical="center"/>
    </xf>
    <xf numFmtId="0" fontId="6" fillId="0" borderId="0" xfId="0" applyFont="1" applyFill="1" applyAlignment="1">
      <alignment vertical="center"/>
    </xf>
    <xf numFmtId="11" fontId="27" fillId="0" borderId="0" xfId="0" applyNumberFormat="1" applyFont="1" applyFill="1" applyBorder="1" applyAlignment="1">
      <alignment horizontal="center" vertical="center"/>
    </xf>
    <xf numFmtId="0" fontId="17" fillId="0" borderId="0" xfId="0" applyFont="1" applyFill="1" applyBorder="1" applyAlignment="1">
      <alignment vertical="center"/>
    </xf>
    <xf numFmtId="0" fontId="26" fillId="0" borderId="0" xfId="0" applyNumberFormat="1" applyFont="1" applyFill="1" applyBorder="1" applyAlignment="1">
      <alignment horizontal="center" vertical="center"/>
    </xf>
    <xf numFmtId="0" fontId="6" fillId="34" borderId="94" xfId="0" applyFont="1" applyFill="1" applyBorder="1" applyAlignment="1">
      <alignment horizontal="left" vertical="center"/>
    </xf>
    <xf numFmtId="0" fontId="152" fillId="34" borderId="125" xfId="0" applyFont="1" applyFill="1" applyBorder="1" applyAlignment="1">
      <alignment vertical="center"/>
    </xf>
    <xf numFmtId="0" fontId="40" fillId="34" borderId="90" xfId="0" applyFont="1" applyFill="1" applyBorder="1" applyAlignment="1">
      <alignment vertical="center"/>
    </xf>
    <xf numFmtId="11" fontId="19" fillId="38" borderId="157" xfId="61" applyNumberFormat="1" applyFont="1" applyFill="1" applyBorder="1" applyAlignment="1">
      <alignment horizontal="center" vertical="center"/>
    </xf>
    <xf numFmtId="11" fontId="96" fillId="38" borderId="191" xfId="61" applyNumberFormat="1" applyFont="1" applyFill="1" applyBorder="1" applyAlignment="1">
      <alignment horizontal="center" vertical="center"/>
    </xf>
    <xf numFmtId="11" fontId="96" fillId="38" borderId="27" xfId="61" applyNumberFormat="1" applyFont="1" applyFill="1" applyBorder="1" applyAlignment="1">
      <alignment horizontal="center" vertical="center"/>
    </xf>
    <xf numFmtId="11" fontId="95" fillId="38" borderId="27" xfId="61" applyNumberFormat="1" applyFont="1" applyFill="1" applyBorder="1" applyAlignment="1">
      <alignment horizontal="center" vertical="center"/>
    </xf>
    <xf numFmtId="0" fontId="6" fillId="38" borderId="27" xfId="0" applyNumberFormat="1" applyFont="1" applyFill="1" applyBorder="1" applyAlignment="1">
      <alignment vertical="center"/>
    </xf>
    <xf numFmtId="11" fontId="154" fillId="38" borderId="27" xfId="61" applyNumberFormat="1" applyFont="1" applyFill="1" applyBorder="1" applyAlignment="1">
      <alignment horizontal="center" vertical="center"/>
    </xf>
    <xf numFmtId="11" fontId="19" fillId="38" borderId="64" xfId="61" applyNumberFormat="1" applyFont="1" applyFill="1" applyBorder="1" applyAlignment="1">
      <alignment horizontal="center" vertical="center"/>
    </xf>
    <xf numFmtId="11" fontId="19" fillId="34" borderId="69" xfId="61" applyNumberFormat="1" applyFont="1" applyFill="1" applyBorder="1" applyAlignment="1">
      <alignment horizontal="center" vertical="center"/>
    </xf>
    <xf numFmtId="11" fontId="96" fillId="34" borderId="191" xfId="61" applyNumberFormat="1" applyFont="1" applyFill="1" applyBorder="1" applyAlignment="1">
      <alignment horizontal="center" vertical="center"/>
    </xf>
    <xf numFmtId="11" fontId="19" fillId="34" borderId="44" xfId="61" applyNumberFormat="1" applyFont="1" applyFill="1" applyBorder="1" applyAlignment="1">
      <alignment horizontal="center" vertical="center"/>
    </xf>
    <xf numFmtId="11" fontId="96" fillId="34" borderId="27" xfId="61" applyNumberFormat="1" applyFont="1" applyFill="1" applyBorder="1" applyAlignment="1">
      <alignment horizontal="center" vertical="center"/>
    </xf>
    <xf numFmtId="11" fontId="95" fillId="34" borderId="27" xfId="61" applyNumberFormat="1" applyFont="1" applyFill="1" applyBorder="1" applyAlignment="1">
      <alignment horizontal="center" vertical="center"/>
    </xf>
    <xf numFmtId="0" fontId="6" fillId="34" borderId="27" xfId="0" applyNumberFormat="1" applyFont="1" applyFill="1" applyBorder="1" applyAlignment="1">
      <alignment vertical="center"/>
    </xf>
    <xf numFmtId="11" fontId="154" fillId="34" borderId="27" xfId="61" applyNumberFormat="1" applyFont="1" applyFill="1" applyBorder="1" applyAlignment="1">
      <alignment horizontal="center" vertical="center"/>
    </xf>
    <xf numFmtId="11" fontId="19" fillId="34" borderId="63" xfId="61" applyNumberFormat="1" applyFont="1" applyFill="1" applyBorder="1" applyAlignment="1">
      <alignment horizontal="center" vertical="center"/>
    </xf>
    <xf numFmtId="11" fontId="19" fillId="34" borderId="64" xfId="61" applyNumberFormat="1" applyFont="1" applyFill="1" applyBorder="1" applyAlignment="1">
      <alignment horizontal="center" vertical="center"/>
    </xf>
    <xf numFmtId="11" fontId="38" fillId="34" borderId="16" xfId="61" applyNumberFormat="1" applyFont="1" applyFill="1" applyBorder="1" applyAlignment="1" applyProtection="1">
      <alignment horizontal="center" vertical="center"/>
      <protection/>
    </xf>
    <xf numFmtId="11" fontId="154" fillId="34" borderId="16" xfId="61" applyNumberFormat="1" applyFont="1" applyFill="1" applyBorder="1" applyAlignment="1" applyProtection="1">
      <alignment horizontal="center" vertical="center"/>
      <protection/>
    </xf>
    <xf numFmtId="11" fontId="19" fillId="34" borderId="24" xfId="61" applyNumberFormat="1" applyFont="1" applyFill="1" applyBorder="1" applyAlignment="1" applyProtection="1">
      <alignment horizontal="center" vertical="center"/>
      <protection/>
    </xf>
    <xf numFmtId="11" fontId="154" fillId="38" borderId="27" xfId="0" applyNumberFormat="1" applyFont="1" applyFill="1" applyBorder="1" applyAlignment="1" applyProtection="1">
      <alignment horizontal="center" vertical="center"/>
      <protection/>
    </xf>
    <xf numFmtId="0" fontId="20" fillId="38" borderId="77" xfId="0" applyNumberFormat="1" applyFont="1" applyFill="1" applyBorder="1" applyAlignment="1" applyProtection="1">
      <alignment horizontal="center" vertical="center"/>
      <protection/>
    </xf>
    <xf numFmtId="0" fontId="20" fillId="38" borderId="63" xfId="0" applyNumberFormat="1" applyFont="1" applyFill="1" applyBorder="1" applyAlignment="1" applyProtection="1">
      <alignment horizontal="center" vertical="center"/>
      <protection/>
    </xf>
    <xf numFmtId="166" fontId="19" fillId="38" borderId="63" xfId="0" applyNumberFormat="1" applyFont="1" applyFill="1" applyBorder="1" applyAlignment="1" applyProtection="1">
      <alignment horizontal="center" vertical="center"/>
      <protection/>
    </xf>
    <xf numFmtId="11" fontId="19" fillId="38" borderId="63" xfId="0" applyNumberFormat="1" applyFont="1" applyFill="1" applyBorder="1" applyAlignment="1" applyProtection="1">
      <alignment horizontal="center" vertical="center"/>
      <protection/>
    </xf>
    <xf numFmtId="11" fontId="19" fillId="38" borderId="64" xfId="0" applyNumberFormat="1" applyFont="1" applyFill="1" applyBorder="1" applyAlignment="1" applyProtection="1">
      <alignment horizontal="center" vertical="center"/>
      <protection/>
    </xf>
    <xf numFmtId="11" fontId="154" fillId="34" borderId="16" xfId="0" applyNumberFormat="1" applyFont="1" applyFill="1" applyBorder="1" applyAlignment="1" applyProtection="1">
      <alignment horizontal="center" vertical="center"/>
      <protection/>
    </xf>
    <xf numFmtId="11" fontId="19" fillId="34" borderId="24" xfId="0" applyNumberFormat="1" applyFont="1" applyFill="1" applyBorder="1" applyAlignment="1" applyProtection="1">
      <alignment horizontal="center" vertical="center"/>
      <protection/>
    </xf>
    <xf numFmtId="1" fontId="125" fillId="37" borderId="0" xfId="0" applyNumberFormat="1" applyFont="1" applyFill="1" applyBorder="1" applyAlignment="1" applyProtection="1">
      <alignment horizontal="left" vertical="center"/>
      <protection/>
    </xf>
    <xf numFmtId="0" fontId="53" fillId="37" borderId="16" xfId="0" applyFont="1" applyFill="1" applyBorder="1" applyAlignment="1" applyProtection="1">
      <alignment horizontal="left"/>
      <protection/>
    </xf>
    <xf numFmtId="0" fontId="118" fillId="35" borderId="127" xfId="0" applyFont="1" applyFill="1" applyBorder="1" applyAlignment="1">
      <alignment horizontal="center" vertical="center"/>
    </xf>
    <xf numFmtId="0" fontId="119" fillId="0" borderId="0" xfId="0" applyFont="1" applyBorder="1" applyAlignment="1">
      <alignment horizontal="center" vertical="center"/>
    </xf>
    <xf numFmtId="0" fontId="119" fillId="0" borderId="128" xfId="0" applyFont="1" applyBorder="1" applyAlignment="1">
      <alignment horizontal="center" vertical="center"/>
    </xf>
    <xf numFmtId="0" fontId="66" fillId="35" borderId="134" xfId="0" applyFont="1" applyFill="1" applyBorder="1" applyAlignment="1">
      <alignment horizontal="center"/>
    </xf>
    <xf numFmtId="0" fontId="66" fillId="0" borderId="32" xfId="0" applyFont="1" applyBorder="1" applyAlignment="1">
      <alignment horizontal="center"/>
    </xf>
    <xf numFmtId="0" fontId="66" fillId="0" borderId="135" xfId="0" applyFont="1" applyBorder="1" applyAlignment="1">
      <alignment horizontal="center"/>
    </xf>
    <xf numFmtId="0" fontId="134" fillId="35" borderId="127" xfId="53" applyFont="1" applyFill="1" applyBorder="1" applyAlignment="1">
      <alignment horizontal="left"/>
    </xf>
    <xf numFmtId="0" fontId="134" fillId="35" borderId="0" xfId="53" applyFont="1" applyFill="1" applyBorder="1" applyAlignment="1">
      <alignment horizontal="left"/>
    </xf>
    <xf numFmtId="0" fontId="6" fillId="38" borderId="99" xfId="0" applyNumberFormat="1" applyFont="1" applyFill="1" applyBorder="1" applyAlignment="1">
      <alignment horizontal="left" vertical="center"/>
    </xf>
    <xf numFmtId="0" fontId="6" fillId="38" borderId="100" xfId="0" applyNumberFormat="1" applyFont="1" applyFill="1" applyBorder="1" applyAlignment="1">
      <alignment horizontal="left" vertical="center"/>
    </xf>
    <xf numFmtId="166" fontId="6" fillId="38" borderId="0" xfId="0" applyNumberFormat="1" applyFont="1" applyFill="1" applyBorder="1" applyAlignment="1">
      <alignment horizontal="left" vertical="center"/>
    </xf>
    <xf numFmtId="166" fontId="6" fillId="38" borderId="16" xfId="0" applyNumberFormat="1" applyFont="1" applyFill="1" applyBorder="1" applyAlignment="1">
      <alignment horizontal="left" vertical="center"/>
    </xf>
    <xf numFmtId="166" fontId="6" fillId="38" borderId="95" xfId="0" applyNumberFormat="1" applyFont="1" applyFill="1" applyBorder="1" applyAlignment="1">
      <alignment horizontal="left" vertical="center"/>
    </xf>
    <xf numFmtId="166" fontId="6" fillId="38" borderId="101" xfId="0" applyNumberFormat="1" applyFont="1" applyFill="1" applyBorder="1" applyAlignment="1">
      <alignment horizontal="left" vertical="center"/>
    </xf>
    <xf numFmtId="0" fontId="26" fillId="34" borderId="192" xfId="0" applyFont="1" applyFill="1" applyBorder="1" applyAlignment="1">
      <alignment horizontal="center" vertical="center" wrapText="1"/>
    </xf>
    <xf numFmtId="0" fontId="26" fillId="34" borderId="193" xfId="0" applyFont="1" applyFill="1" applyBorder="1" applyAlignment="1">
      <alignment horizontal="center" vertical="center" wrapText="1"/>
    </xf>
    <xf numFmtId="0" fontId="26" fillId="34" borderId="194" xfId="0" applyFont="1" applyFill="1" applyBorder="1" applyAlignment="1">
      <alignment horizontal="center" vertical="center" wrapText="1"/>
    </xf>
    <xf numFmtId="0" fontId="26" fillId="34" borderId="195" xfId="0" applyFont="1" applyFill="1" applyBorder="1" applyAlignment="1">
      <alignment horizontal="center" vertical="center" wrapText="1"/>
    </xf>
    <xf numFmtId="2" fontId="6" fillId="34" borderId="122" xfId="0" applyNumberFormat="1" applyFont="1" applyFill="1" applyBorder="1" applyAlignment="1">
      <alignment horizontal="left" vertical="center"/>
    </xf>
    <xf numFmtId="2" fontId="6" fillId="34" borderId="123" xfId="0" applyNumberFormat="1" applyFont="1" applyFill="1" applyBorder="1" applyAlignment="1">
      <alignment horizontal="left" vertical="center"/>
    </xf>
    <xf numFmtId="11" fontId="6" fillId="34" borderId="0" xfId="0" applyNumberFormat="1" applyFont="1" applyFill="1" applyBorder="1" applyAlignment="1">
      <alignment horizontal="left" vertical="center"/>
    </xf>
    <xf numFmtId="11" fontId="6" fillId="34" borderId="16" xfId="0" applyNumberFormat="1" applyFont="1" applyFill="1" applyBorder="1" applyAlignment="1">
      <alignment horizontal="left" vertical="center"/>
    </xf>
    <xf numFmtId="0" fontId="10" fillId="38" borderId="86" xfId="0" applyFont="1" applyFill="1" applyBorder="1" applyAlignment="1">
      <alignment horizontal="center" vertical="center"/>
    </xf>
    <xf numFmtId="0" fontId="40" fillId="38" borderId="87" xfId="0" applyFont="1" applyFill="1" applyBorder="1" applyAlignment="1">
      <alignment horizontal="center" vertical="center"/>
    </xf>
    <xf numFmtId="0" fontId="40" fillId="38" borderId="88" xfId="0" applyFont="1" applyFill="1" applyBorder="1" applyAlignment="1">
      <alignment horizontal="center" vertical="center"/>
    </xf>
    <xf numFmtId="0" fontId="10" fillId="34" borderId="86" xfId="0" applyFont="1" applyFill="1" applyBorder="1" applyAlignment="1">
      <alignment horizontal="center" vertical="center"/>
    </xf>
    <xf numFmtId="0" fontId="10" fillId="34" borderId="87" xfId="0" applyFont="1" applyFill="1" applyBorder="1" applyAlignment="1">
      <alignment horizontal="center" vertical="center"/>
    </xf>
    <xf numFmtId="0" fontId="10" fillId="34" borderId="88" xfId="0" applyFont="1" applyFill="1" applyBorder="1" applyAlignment="1">
      <alignment horizontal="center" vertical="center"/>
    </xf>
    <xf numFmtId="0" fontId="10" fillId="34" borderId="28" xfId="0" applyNumberFormat="1" applyFont="1" applyFill="1" applyBorder="1" applyAlignment="1">
      <alignment horizontal="center" vertical="center"/>
    </xf>
    <xf numFmtId="0" fontId="10" fillId="34" borderId="29" xfId="0" applyNumberFormat="1" applyFont="1" applyFill="1" applyBorder="1" applyAlignment="1">
      <alignment horizontal="center" vertical="center"/>
    </xf>
    <xf numFmtId="0" fontId="10" fillId="34" borderId="31" xfId="0" applyNumberFormat="1" applyFont="1" applyFill="1" applyBorder="1" applyAlignment="1">
      <alignment horizontal="center" vertical="center"/>
    </xf>
    <xf numFmtId="0" fontId="6" fillId="34" borderId="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8" borderId="196" xfId="0" applyNumberFormat="1" applyFont="1" applyFill="1" applyBorder="1" applyAlignment="1">
      <alignment horizontal="center" vertical="center" wrapText="1"/>
    </xf>
    <xf numFmtId="0" fontId="6" fillId="38" borderId="47" xfId="0" applyNumberFormat="1" applyFont="1" applyFill="1" applyBorder="1" applyAlignment="1">
      <alignment horizontal="center" vertical="center" wrapText="1"/>
    </xf>
    <xf numFmtId="0" fontId="6" fillId="38" borderId="102" xfId="0" applyNumberFormat="1" applyFont="1" applyFill="1" applyBorder="1" applyAlignment="1">
      <alignment horizontal="center" vertical="center" wrapText="1"/>
    </xf>
    <xf numFmtId="0" fontId="6" fillId="38" borderId="157" xfId="0" applyNumberFormat="1" applyFont="1" applyFill="1" applyBorder="1" applyAlignment="1">
      <alignment horizontal="center" vertical="center" wrapText="1"/>
    </xf>
    <xf numFmtId="0" fontId="6" fillId="38" borderId="14" xfId="0" applyNumberFormat="1" applyFont="1" applyFill="1" applyBorder="1" applyAlignment="1">
      <alignment horizontal="center" vertical="center" wrapText="1"/>
    </xf>
    <xf numFmtId="0" fontId="6" fillId="38" borderId="18" xfId="0" applyNumberFormat="1" applyFont="1" applyFill="1" applyBorder="1" applyAlignment="1">
      <alignment horizontal="center" vertical="center" wrapText="1"/>
    </xf>
    <xf numFmtId="0" fontId="6" fillId="38" borderId="191" xfId="0" applyNumberFormat="1" applyFont="1" applyFill="1" applyBorder="1" applyAlignment="1">
      <alignment horizontal="center" vertical="center" wrapText="1"/>
    </xf>
    <xf numFmtId="0" fontId="6" fillId="38" borderId="27" xfId="0" applyNumberFormat="1" applyFont="1" applyFill="1" applyBorder="1" applyAlignment="1">
      <alignment horizontal="center" vertical="center" wrapText="1"/>
    </xf>
    <xf numFmtId="0" fontId="6" fillId="38" borderId="39" xfId="0" applyNumberFormat="1" applyFont="1" applyFill="1" applyBorder="1" applyAlignment="1">
      <alignment horizontal="center" vertical="center" wrapText="1"/>
    </xf>
    <xf numFmtId="0" fontId="6" fillId="34" borderId="196" xfId="0" applyNumberFormat="1" applyFont="1" applyFill="1" applyBorder="1" applyAlignment="1">
      <alignment horizontal="center" vertical="center" wrapText="1"/>
    </xf>
    <xf numFmtId="0" fontId="6" fillId="34" borderId="47" xfId="0" applyNumberFormat="1" applyFont="1" applyFill="1" applyBorder="1" applyAlignment="1">
      <alignment horizontal="center" vertical="center" wrapText="1"/>
    </xf>
    <xf numFmtId="0" fontId="6" fillId="34" borderId="102" xfId="0" applyNumberFormat="1" applyFont="1" applyFill="1" applyBorder="1" applyAlignment="1">
      <alignment horizontal="center" vertical="center" wrapText="1"/>
    </xf>
    <xf numFmtId="0" fontId="6" fillId="34" borderId="69" xfId="0" applyNumberFormat="1" applyFont="1" applyFill="1" applyBorder="1" applyAlignment="1">
      <alignment horizontal="center" vertical="center" wrapText="1"/>
    </xf>
    <xf numFmtId="0" fontId="6" fillId="34" borderId="44" xfId="0" applyNumberFormat="1" applyFont="1" applyFill="1" applyBorder="1" applyAlignment="1">
      <alignment horizontal="center" vertical="center" wrapText="1"/>
    </xf>
    <xf numFmtId="0" fontId="6" fillId="34" borderId="19" xfId="0" applyNumberFormat="1" applyFont="1" applyFill="1" applyBorder="1" applyAlignment="1">
      <alignment horizontal="center" vertical="center" wrapText="1"/>
    </xf>
    <xf numFmtId="0" fontId="8" fillId="0" borderId="4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5" xfId="0" applyFont="1" applyFill="1" applyBorder="1" applyAlignment="1">
      <alignment horizontal="center" vertical="center"/>
    </xf>
    <xf numFmtId="0" fontId="126" fillId="34" borderId="11" xfId="0" applyFont="1" applyFill="1" applyBorder="1" applyAlignment="1">
      <alignment horizontal="center" vertical="center"/>
    </xf>
    <xf numFmtId="0" fontId="126" fillId="34" borderId="12" xfId="0" applyFont="1" applyFill="1" applyBorder="1" applyAlignment="1">
      <alignment horizontal="center" vertical="center"/>
    </xf>
    <xf numFmtId="0" fontId="126" fillId="34" borderId="15" xfId="0" applyFont="1" applyFill="1" applyBorder="1" applyAlignment="1">
      <alignment horizontal="center" vertical="center"/>
    </xf>
    <xf numFmtId="0" fontId="10" fillId="38" borderId="28" xfId="0" applyNumberFormat="1" applyFont="1" applyFill="1" applyBorder="1" applyAlignment="1">
      <alignment horizontal="center" vertical="center"/>
    </xf>
    <xf numFmtId="0" fontId="0" fillId="38" borderId="29" xfId="0" applyFill="1" applyBorder="1" applyAlignment="1">
      <alignment vertical="center"/>
    </xf>
    <xf numFmtId="0" fontId="0" fillId="38" borderId="31" xfId="0" applyFill="1" applyBorder="1" applyAlignment="1">
      <alignment vertical="center"/>
    </xf>
    <xf numFmtId="0" fontId="64" fillId="38" borderId="25" xfId="0" applyFont="1" applyFill="1" applyBorder="1" applyAlignment="1">
      <alignment horizontal="center" vertical="center"/>
    </xf>
    <xf numFmtId="0" fontId="0" fillId="38" borderId="23" xfId="0" applyFill="1" applyBorder="1" applyAlignment="1">
      <alignment horizontal="center" vertical="center"/>
    </xf>
    <xf numFmtId="0" fontId="0" fillId="38" borderId="24" xfId="0" applyFill="1" applyBorder="1" applyAlignment="1">
      <alignment horizontal="center" vertical="center"/>
    </xf>
    <xf numFmtId="0" fontId="26" fillId="34" borderId="197" xfId="0" applyFont="1" applyFill="1" applyBorder="1" applyAlignment="1">
      <alignment horizontal="center" vertical="center" wrapText="1"/>
    </xf>
    <xf numFmtId="0" fontId="26" fillId="34" borderId="198" xfId="0" applyFont="1" applyFill="1" applyBorder="1" applyAlignment="1">
      <alignment horizontal="center" vertical="center" wrapText="1"/>
    </xf>
    <xf numFmtId="0" fontId="6" fillId="34" borderId="191" xfId="0" applyNumberFormat="1" applyFont="1" applyFill="1" applyBorder="1" applyAlignment="1">
      <alignment horizontal="center" vertical="center" wrapText="1"/>
    </xf>
    <xf numFmtId="0" fontId="6" fillId="34" borderId="27" xfId="0" applyNumberFormat="1" applyFont="1" applyFill="1" applyBorder="1" applyAlignment="1">
      <alignment horizontal="center" vertical="center" wrapText="1"/>
    </xf>
    <xf numFmtId="0" fontId="6" fillId="34" borderId="39" xfId="0" applyNumberFormat="1" applyFont="1" applyFill="1" applyBorder="1" applyAlignment="1">
      <alignment horizontal="center" vertical="center" wrapText="1"/>
    </xf>
    <xf numFmtId="0" fontId="125" fillId="34" borderId="10" xfId="0" applyFont="1" applyFill="1" applyBorder="1" applyAlignment="1">
      <alignment horizontal="center" vertical="center"/>
    </xf>
    <xf numFmtId="0" fontId="125" fillId="34" borderId="0" xfId="0" applyFont="1" applyFill="1" applyBorder="1" applyAlignment="1">
      <alignment horizontal="center" vertical="center"/>
    </xf>
    <xf numFmtId="0" fontId="125" fillId="34" borderId="16" xfId="0" applyFont="1" applyFill="1" applyBorder="1" applyAlignment="1">
      <alignment horizontal="center" vertical="center"/>
    </xf>
    <xf numFmtId="0" fontId="6" fillId="34" borderId="179" xfId="0" applyFont="1" applyFill="1" applyBorder="1" applyAlignment="1">
      <alignment horizontal="center" vertical="center"/>
    </xf>
    <xf numFmtId="0" fontId="6" fillId="34" borderId="199" xfId="0" applyFont="1" applyFill="1" applyBorder="1" applyAlignment="1">
      <alignment horizontal="center" vertical="center"/>
    </xf>
    <xf numFmtId="0" fontId="6" fillId="34" borderId="186" xfId="0" applyFont="1" applyFill="1" applyBorder="1" applyAlignment="1">
      <alignment horizontal="center" vertical="center"/>
    </xf>
    <xf numFmtId="0" fontId="6" fillId="34" borderId="200" xfId="0" applyFont="1" applyFill="1" applyBorder="1" applyAlignment="1">
      <alignment horizontal="center" vertical="center" wrapText="1"/>
    </xf>
    <xf numFmtId="0" fontId="6" fillId="34" borderId="194" xfId="0" applyFont="1" applyFill="1" applyBorder="1" applyAlignment="1">
      <alignment horizontal="center" vertical="center" wrapText="1"/>
    </xf>
    <xf numFmtId="0" fontId="6" fillId="34" borderId="201" xfId="0" applyFont="1" applyFill="1" applyBorder="1" applyAlignment="1">
      <alignment horizontal="center" vertical="center" wrapText="1"/>
    </xf>
    <xf numFmtId="0" fontId="6" fillId="34" borderId="195" xfId="0" applyFont="1" applyFill="1" applyBorder="1" applyAlignment="1">
      <alignment horizontal="center" vertical="center" wrapText="1"/>
    </xf>
    <xf numFmtId="0" fontId="6" fillId="34" borderId="106" xfId="0" applyFont="1" applyFill="1" applyBorder="1" applyAlignment="1">
      <alignment horizontal="left" vertical="center"/>
    </xf>
    <xf numFmtId="0" fontId="6" fillId="34" borderId="115" xfId="0" applyFont="1" applyFill="1" applyBorder="1" applyAlignment="1">
      <alignment horizontal="left" vertical="center"/>
    </xf>
    <xf numFmtId="11" fontId="6" fillId="34" borderId="95" xfId="0" applyNumberFormat="1" applyFont="1" applyFill="1" applyBorder="1" applyAlignment="1">
      <alignment horizontal="left" vertical="center"/>
    </xf>
    <xf numFmtId="11" fontId="6" fillId="34" borderId="101" xfId="0" applyNumberFormat="1" applyFont="1" applyFill="1" applyBorder="1" applyAlignment="1">
      <alignment horizontal="left" vertical="center"/>
    </xf>
    <xf numFmtId="0" fontId="6" fillId="34" borderId="76" xfId="0" applyFont="1" applyFill="1" applyBorder="1" applyAlignment="1">
      <alignment horizontal="left" vertical="center"/>
    </xf>
    <xf numFmtId="0" fontId="6" fillId="34" borderId="138" xfId="0" applyFont="1" applyFill="1" applyBorder="1" applyAlignment="1">
      <alignment horizontal="left" vertical="center"/>
    </xf>
    <xf numFmtId="2" fontId="8" fillId="34" borderId="17" xfId="0" applyNumberFormat="1" applyFont="1" applyFill="1" applyBorder="1" applyAlignment="1">
      <alignment horizontal="center" vertical="center"/>
    </xf>
    <xf numFmtId="2" fontId="8" fillId="34" borderId="38" xfId="0" applyNumberFormat="1" applyFont="1" applyFill="1" applyBorder="1" applyAlignment="1">
      <alignment horizontal="center" vertical="center"/>
    </xf>
    <xf numFmtId="0" fontId="8" fillId="34" borderId="12" xfId="0" applyFont="1" applyFill="1" applyBorder="1" applyAlignment="1">
      <alignment horizontal="center" vertical="center"/>
    </xf>
    <xf numFmtId="0" fontId="8" fillId="34" borderId="15" xfId="0" applyFont="1" applyFill="1" applyBorder="1" applyAlignment="1">
      <alignment horizontal="center" vertical="center"/>
    </xf>
    <xf numFmtId="0" fontId="8" fillId="0" borderId="20" xfId="0" applyFont="1" applyFill="1" applyBorder="1" applyAlignment="1">
      <alignment horizontal="center" vertical="center"/>
    </xf>
    <xf numFmtId="0" fontId="86" fillId="34" borderId="25" xfId="0" applyFont="1" applyFill="1" applyBorder="1" applyAlignment="1">
      <alignment horizontal="center" vertical="center"/>
    </xf>
    <xf numFmtId="0" fontId="87" fillId="34" borderId="23" xfId="0" applyFont="1" applyFill="1" applyBorder="1" applyAlignment="1">
      <alignment horizontal="center" vertical="center"/>
    </xf>
    <xf numFmtId="0" fontId="87" fillId="34" borderId="24" xfId="0" applyFont="1" applyFill="1" applyBorder="1" applyAlignment="1">
      <alignment horizontal="center" vertical="center"/>
    </xf>
    <xf numFmtId="0" fontId="19" fillId="38" borderId="202" xfId="0" applyFont="1" applyFill="1" applyBorder="1" applyAlignment="1" applyProtection="1">
      <alignment horizontal="center" vertical="center" wrapText="1"/>
      <protection/>
    </xf>
    <xf numFmtId="0" fontId="19" fillId="38" borderId="47" xfId="0" applyFont="1" applyFill="1" applyBorder="1" applyAlignment="1" applyProtection="1">
      <alignment horizontal="center" vertical="center" wrapText="1"/>
      <protection/>
    </xf>
    <xf numFmtId="0" fontId="19" fillId="38" borderId="76" xfId="0" applyFont="1" applyFill="1" applyBorder="1" applyAlignment="1" applyProtection="1">
      <alignment horizontal="center" vertical="center" wrapText="1"/>
      <protection/>
    </xf>
    <xf numFmtId="0" fontId="19" fillId="38" borderId="0" xfId="0" applyFont="1" applyFill="1" applyBorder="1" applyAlignment="1" applyProtection="1">
      <alignment horizontal="center" vertical="center" wrapText="1"/>
      <protection/>
    </xf>
    <xf numFmtId="0" fontId="19" fillId="38" borderId="17" xfId="0" applyFont="1" applyFill="1" applyBorder="1" applyAlignment="1" applyProtection="1">
      <alignment horizontal="center" vertical="center" wrapText="1"/>
      <protection/>
    </xf>
    <xf numFmtId="0" fontId="19" fillId="38" borderId="203" xfId="0" applyFont="1" applyFill="1" applyBorder="1" applyAlignment="1" applyProtection="1">
      <alignment horizontal="center" vertical="center" wrapText="1"/>
      <protection/>
    </xf>
    <xf numFmtId="0" fontId="19" fillId="38" borderId="27" xfId="0" applyFont="1" applyFill="1" applyBorder="1" applyAlignment="1" applyProtection="1">
      <alignment horizontal="center" vertical="center" wrapText="1"/>
      <protection/>
    </xf>
    <xf numFmtId="0" fontId="19" fillId="38" borderId="39" xfId="0" applyFont="1" applyFill="1" applyBorder="1" applyAlignment="1" applyProtection="1">
      <alignment horizontal="center" vertical="center" wrapText="1"/>
      <protection/>
    </xf>
    <xf numFmtId="0" fontId="6" fillId="34" borderId="25"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19" fillId="38" borderId="14" xfId="0" applyFont="1" applyFill="1" applyBorder="1" applyAlignment="1" applyProtection="1">
      <alignment horizontal="center" vertical="center" wrapText="1"/>
      <protection/>
    </xf>
    <xf numFmtId="0" fontId="19" fillId="38" borderId="18" xfId="0" applyFont="1" applyFill="1" applyBorder="1" applyAlignment="1">
      <alignment horizontal="center" vertical="center" wrapText="1"/>
    </xf>
    <xf numFmtId="0" fontId="19" fillId="38" borderId="44" xfId="0" applyFont="1" applyFill="1" applyBorder="1" applyAlignment="1" applyProtection="1">
      <alignment horizontal="center" vertical="center" wrapText="1"/>
      <protection/>
    </xf>
    <xf numFmtId="0" fontId="16" fillId="38" borderId="19" xfId="0" applyFont="1" applyFill="1" applyBorder="1" applyAlignment="1">
      <alignment horizontal="center" vertical="center" wrapText="1"/>
    </xf>
    <xf numFmtId="0" fontId="19" fillId="38" borderId="66" xfId="0" applyFont="1" applyFill="1" applyBorder="1" applyAlignment="1" applyProtection="1">
      <alignment horizontal="center" vertical="center" wrapText="1"/>
      <protection/>
    </xf>
    <xf numFmtId="0" fontId="19" fillId="38" borderId="18" xfId="0" applyFont="1" applyFill="1" applyBorder="1" applyAlignment="1" applyProtection="1">
      <alignment horizontal="center" vertical="center" wrapText="1"/>
      <protection/>
    </xf>
    <xf numFmtId="0" fontId="19" fillId="38" borderId="19" xfId="0" applyFont="1" applyFill="1" applyBorder="1" applyAlignment="1">
      <alignment horizontal="center" vertical="center" wrapText="1"/>
    </xf>
    <xf numFmtId="0" fontId="19" fillId="38" borderId="17" xfId="0" applyFont="1" applyFill="1" applyBorder="1" applyAlignment="1">
      <alignment horizontal="center" vertical="center" wrapText="1"/>
    </xf>
    <xf numFmtId="0" fontId="6" fillId="34" borderId="124"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40" xfId="0" applyFont="1" applyFill="1" applyBorder="1" applyAlignment="1" applyProtection="1">
      <alignment horizontal="center" vertical="center" wrapText="1"/>
      <protection/>
    </xf>
    <xf numFmtId="0" fontId="8" fillId="34" borderId="46"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2" fillId="34" borderId="45" xfId="0" applyFont="1" applyFill="1" applyBorder="1" applyAlignment="1" applyProtection="1">
      <alignment horizontal="center" vertical="center"/>
      <protection/>
    </xf>
    <xf numFmtId="0" fontId="88" fillId="38" borderId="25" xfId="0" applyFont="1" applyFill="1" applyBorder="1" applyAlignment="1">
      <alignment horizontal="center" vertical="center"/>
    </xf>
    <xf numFmtId="0" fontId="89" fillId="38" borderId="23" xfId="0" applyFont="1" applyFill="1" applyBorder="1" applyAlignment="1">
      <alignment horizontal="center" vertical="center"/>
    </xf>
    <xf numFmtId="0" fontId="89" fillId="38" borderId="24" xfId="0" applyFont="1" applyFill="1" applyBorder="1" applyAlignment="1">
      <alignment horizontal="center" vertical="center"/>
    </xf>
    <xf numFmtId="0" fontId="10" fillId="38" borderId="87" xfId="0" applyFont="1" applyFill="1" applyBorder="1" applyAlignment="1">
      <alignment horizontal="center" vertical="center"/>
    </xf>
    <xf numFmtId="0" fontId="10" fillId="38" borderId="88" xfId="0" applyFont="1" applyFill="1" applyBorder="1" applyAlignment="1">
      <alignment horizontal="center" vertical="center"/>
    </xf>
    <xf numFmtId="0" fontId="19" fillId="34" borderId="202" xfId="0" applyFont="1" applyFill="1" applyBorder="1" applyAlignment="1" applyProtection="1">
      <alignment horizontal="center" vertical="center" wrapText="1"/>
      <protection/>
    </xf>
    <xf numFmtId="0" fontId="19" fillId="34" borderId="47" xfId="0" applyFont="1" applyFill="1" applyBorder="1" applyAlignment="1" applyProtection="1">
      <alignment horizontal="center" vertical="center" wrapText="1"/>
      <protection/>
    </xf>
    <xf numFmtId="0" fontId="19" fillId="34" borderId="102" xfId="0" applyFont="1" applyFill="1" applyBorder="1" applyAlignment="1" applyProtection="1">
      <alignment horizontal="center" vertical="center" wrapText="1"/>
      <protection/>
    </xf>
    <xf numFmtId="0" fontId="19" fillId="34" borderId="51" xfId="0" applyFont="1" applyFill="1" applyBorder="1" applyAlignment="1" applyProtection="1">
      <alignment horizontal="center" vertical="center" wrapText="1"/>
      <protection/>
    </xf>
    <xf numFmtId="0" fontId="19" fillId="34" borderId="44" xfId="0" applyFont="1" applyFill="1" applyBorder="1" applyAlignment="1" applyProtection="1">
      <alignment horizontal="center" vertical="center" wrapText="1"/>
      <protection/>
    </xf>
    <xf numFmtId="0" fontId="19" fillId="34" borderId="19" xfId="0" applyFont="1" applyFill="1" applyBorder="1" applyAlignment="1" applyProtection="1">
      <alignment horizontal="center" vertical="center" wrapText="1"/>
      <protection/>
    </xf>
    <xf numFmtId="0" fontId="19" fillId="34" borderId="138" xfId="0" applyFont="1" applyFill="1" applyBorder="1" applyAlignment="1" applyProtection="1">
      <alignment horizontal="center" vertical="center" wrapText="1"/>
      <protection/>
    </xf>
    <xf numFmtId="0" fontId="19" fillId="34" borderId="16" xfId="0" applyFont="1" applyFill="1" applyBorder="1" applyAlignment="1" applyProtection="1">
      <alignment horizontal="center" vertical="center" wrapText="1"/>
      <protection/>
    </xf>
    <xf numFmtId="0" fontId="19" fillId="34" borderId="38" xfId="0" applyFont="1" applyFill="1" applyBorder="1" applyAlignment="1" applyProtection="1">
      <alignment horizontal="center" vertical="center" wrapText="1"/>
      <protection/>
    </xf>
    <xf numFmtId="0" fontId="19" fillId="38" borderId="65" xfId="0" applyFont="1" applyFill="1" applyBorder="1" applyAlignment="1" applyProtection="1">
      <alignment horizontal="center" vertical="center" wrapText="1"/>
      <protection/>
    </xf>
    <xf numFmtId="0" fontId="19" fillId="38" borderId="67" xfId="0" applyFont="1" applyFill="1" applyBorder="1" applyAlignment="1" applyProtection="1">
      <alignment horizontal="center" vertical="center" wrapText="1"/>
      <protection/>
    </xf>
    <xf numFmtId="0" fontId="27" fillId="32" borderId="33" xfId="0" applyFont="1" applyFill="1" applyBorder="1" applyAlignment="1">
      <alignment horizontal="center" vertical="center" wrapText="1"/>
    </xf>
    <xf numFmtId="0" fontId="26" fillId="32" borderId="35" xfId="0" applyFont="1" applyFill="1" applyBorder="1" applyAlignment="1">
      <alignment vertical="center"/>
    </xf>
    <xf numFmtId="0" fontId="26" fillId="32" borderId="48" xfId="0" applyFont="1" applyFill="1" applyBorder="1" applyAlignment="1">
      <alignment vertical="center"/>
    </xf>
    <xf numFmtId="0" fontId="26" fillId="32" borderId="92" xfId="0" applyFont="1" applyFill="1" applyBorder="1" applyAlignment="1">
      <alignment vertical="center"/>
    </xf>
    <xf numFmtId="0" fontId="26" fillId="32" borderId="204" xfId="0" applyFont="1" applyFill="1" applyBorder="1" applyAlignment="1">
      <alignment horizontal="center" vertical="center" wrapText="1"/>
    </xf>
    <xf numFmtId="0" fontId="0" fillId="32" borderId="181" xfId="0" applyFill="1" applyBorder="1" applyAlignment="1">
      <alignment vertical="center"/>
    </xf>
    <xf numFmtId="0" fontId="26" fillId="32" borderId="205" xfId="0" applyFont="1" applyFill="1" applyBorder="1" applyAlignment="1">
      <alignment horizontal="center" vertical="center" wrapText="1"/>
    </xf>
    <xf numFmtId="0" fontId="0" fillId="32" borderId="182" xfId="0" applyFill="1" applyBorder="1" applyAlignment="1">
      <alignment vertical="center"/>
    </xf>
    <xf numFmtId="0" fontId="8" fillId="32" borderId="28"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31" xfId="0" applyFont="1" applyFill="1" applyBorder="1" applyAlignment="1">
      <alignment horizontal="center" vertical="center"/>
    </xf>
    <xf numFmtId="0" fontId="8" fillId="32" borderId="37" xfId="0" applyFont="1" applyFill="1" applyBorder="1" applyAlignment="1">
      <alignment horizontal="center" vertical="center"/>
    </xf>
    <xf numFmtId="0" fontId="8" fillId="32" borderId="17" xfId="0" applyFont="1" applyFill="1" applyBorder="1" applyAlignment="1">
      <alignment horizontal="center" vertical="center"/>
    </xf>
    <xf numFmtId="0" fontId="8" fillId="32" borderId="38" xfId="0" applyFont="1" applyFill="1" applyBorder="1" applyAlignment="1">
      <alignment horizontal="center" vertical="center"/>
    </xf>
    <xf numFmtId="0" fontId="26" fillId="32" borderId="37" xfId="0" applyFont="1" applyFill="1" applyBorder="1" applyAlignment="1">
      <alignment horizontal="center" vertical="center"/>
    </xf>
    <xf numFmtId="0" fontId="26" fillId="32" borderId="17" xfId="0" applyFont="1" applyFill="1" applyBorder="1" applyAlignment="1">
      <alignment horizontal="center" vertical="center"/>
    </xf>
    <xf numFmtId="0" fontId="26" fillId="32" borderId="38" xfId="0" applyFont="1" applyFill="1" applyBorder="1" applyAlignment="1">
      <alignment horizontal="center" vertical="center"/>
    </xf>
    <xf numFmtId="0" fontId="26" fillId="32" borderId="206" xfId="0" applyFont="1" applyFill="1" applyBorder="1" applyAlignment="1">
      <alignment horizontal="center" vertical="center" wrapText="1"/>
    </xf>
    <xf numFmtId="0" fontId="26" fillId="32" borderId="207" xfId="0" applyFont="1" applyFill="1" applyBorder="1" applyAlignment="1">
      <alignment horizontal="center" vertical="center" wrapText="1"/>
    </xf>
    <xf numFmtId="4" fontId="8" fillId="32" borderId="161" xfId="0" applyNumberFormat="1" applyFont="1" applyFill="1" applyBorder="1" applyAlignment="1">
      <alignment horizontal="center" vertical="center"/>
    </xf>
    <xf numFmtId="4" fontId="8" fillId="32" borderId="162" xfId="0" applyNumberFormat="1" applyFont="1" applyFill="1" applyBorder="1" applyAlignment="1">
      <alignment horizontal="center" vertical="center"/>
    </xf>
    <xf numFmtId="4" fontId="8" fillId="32" borderId="163" xfId="0" applyNumberFormat="1" applyFont="1" applyFill="1" applyBorder="1" applyAlignment="1">
      <alignment horizontal="center" vertical="center"/>
    </xf>
    <xf numFmtId="0" fontId="26" fillId="32" borderId="208" xfId="0" applyFont="1" applyFill="1" applyBorder="1" applyAlignment="1">
      <alignment horizontal="center" vertical="center" wrapText="1"/>
    </xf>
    <xf numFmtId="0" fontId="0" fillId="32" borderId="209" xfId="0" applyFill="1" applyBorder="1" applyAlignment="1">
      <alignment vertic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6" fillId="32" borderId="46" xfId="0" applyFont="1" applyFill="1" applyBorder="1" applyAlignment="1">
      <alignment horizontal="center" vertical="center" wrapText="1"/>
    </xf>
    <xf numFmtId="0" fontId="26" fillId="32" borderId="21" xfId="0" applyFont="1" applyFill="1" applyBorder="1" applyAlignment="1">
      <alignment horizontal="center" vertical="center" wrapText="1"/>
    </xf>
    <xf numFmtId="0" fontId="26" fillId="32" borderId="45" xfId="0"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15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210" xfId="0" applyFont="1" applyFill="1" applyBorder="1" applyAlignment="1">
      <alignment horizontal="center" vertical="center"/>
    </xf>
    <xf numFmtId="0" fontId="8" fillId="0" borderId="211" xfId="0" applyFont="1" applyFill="1" applyBorder="1" applyAlignment="1">
      <alignment horizontal="center" vertical="center"/>
    </xf>
    <xf numFmtId="0" fontId="6" fillId="0" borderId="98" xfId="0" applyFont="1" applyFill="1" applyBorder="1" applyAlignment="1">
      <alignment horizontal="center" vertical="center" wrapText="1"/>
    </xf>
    <xf numFmtId="0" fontId="6" fillId="0" borderId="21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34" borderId="127" xfId="0" applyFont="1" applyFill="1" applyBorder="1" applyAlignment="1">
      <alignment horizontal="left" vertical="center"/>
    </xf>
    <xf numFmtId="0" fontId="6" fillId="0" borderId="0" xfId="0" applyFont="1" applyAlignment="1">
      <alignment horizontal="left" vertical="center"/>
    </xf>
    <xf numFmtId="0" fontId="6" fillId="34" borderId="213" xfId="0" applyFont="1" applyFill="1" applyBorder="1" applyAlignment="1">
      <alignment horizontal="left" vertical="center"/>
    </xf>
    <xf numFmtId="0" fontId="6" fillId="0" borderId="23" xfId="0" applyFont="1" applyBorder="1" applyAlignment="1">
      <alignment horizontal="left" vertical="center"/>
    </xf>
    <xf numFmtId="0" fontId="8" fillId="39" borderId="210" xfId="0" applyFont="1" applyFill="1" applyBorder="1" applyAlignment="1">
      <alignment horizontal="center" vertical="center"/>
    </xf>
    <xf numFmtId="0" fontId="8" fillId="39" borderId="157" xfId="0" applyFont="1" applyFill="1" applyBorder="1" applyAlignment="1">
      <alignment horizontal="center" vertical="center"/>
    </xf>
    <xf numFmtId="0" fontId="8" fillId="39" borderId="211" xfId="0" applyFont="1" applyFill="1" applyBorder="1" applyAlignment="1">
      <alignment horizontal="center" vertical="center"/>
    </xf>
    <xf numFmtId="0" fontId="8" fillId="39" borderId="72" xfId="0" applyFont="1" applyFill="1" applyBorder="1" applyAlignment="1">
      <alignment horizontal="center" vertical="center"/>
    </xf>
    <xf numFmtId="0" fontId="6" fillId="39" borderId="104" xfId="0" applyFont="1" applyFill="1" applyBorder="1" applyAlignment="1">
      <alignment horizontal="center" vertical="center" wrapText="1"/>
    </xf>
    <xf numFmtId="0" fontId="6" fillId="39" borderId="66" xfId="0" applyFont="1" applyFill="1" applyBorder="1" applyAlignment="1">
      <alignment horizontal="center" vertical="center" wrapText="1"/>
    </xf>
    <xf numFmtId="0" fontId="6" fillId="39" borderId="25" xfId="0" applyFont="1" applyFill="1" applyBorder="1" applyAlignment="1">
      <alignment horizontal="center" vertical="center" wrapText="1"/>
    </xf>
    <xf numFmtId="0" fontId="6" fillId="39" borderId="26" xfId="0" applyFont="1" applyFill="1" applyBorder="1" applyAlignment="1">
      <alignment horizontal="center" vertical="center" wrapText="1"/>
    </xf>
    <xf numFmtId="0" fontId="6" fillId="39" borderId="141" xfId="0" applyFont="1" applyFill="1" applyBorder="1" applyAlignment="1">
      <alignment horizontal="center" vertical="center"/>
    </xf>
    <xf numFmtId="0" fontId="6" fillId="39" borderId="52" xfId="0" applyFont="1" applyFill="1" applyBorder="1" applyAlignment="1">
      <alignment horizontal="center" vertical="center"/>
    </xf>
    <xf numFmtId="0" fontId="6" fillId="34" borderId="0" xfId="0" applyFont="1" applyFill="1" applyBorder="1" applyAlignment="1">
      <alignment horizontal="left" vertical="center"/>
    </xf>
    <xf numFmtId="0" fontId="6" fillId="34" borderId="0" xfId="0" applyFont="1" applyFill="1" applyAlignment="1">
      <alignment horizontal="left" vertical="center"/>
    </xf>
    <xf numFmtId="0" fontId="6" fillId="34" borderId="23" xfId="0" applyFont="1" applyFill="1" applyBorder="1" applyAlignment="1">
      <alignment horizontal="left" vertical="center"/>
    </xf>
    <xf numFmtId="0" fontId="6" fillId="39" borderId="98" xfId="0" applyFont="1" applyFill="1" applyBorder="1" applyAlignment="1">
      <alignment horizontal="center" vertical="center" wrapText="1"/>
    </xf>
    <xf numFmtId="0" fontId="6" fillId="39" borderId="212" xfId="0" applyFont="1" applyFill="1" applyBorder="1" applyAlignment="1">
      <alignment horizontal="center" vertical="center" wrapText="1"/>
    </xf>
    <xf numFmtId="0" fontId="6" fillId="39" borderId="37" xfId="0" applyFont="1" applyFill="1" applyBorder="1" applyAlignment="1">
      <alignment horizontal="center" vertical="center" wrapText="1"/>
    </xf>
    <xf numFmtId="0" fontId="6" fillId="39" borderId="18" xfId="0" applyFont="1" applyFill="1" applyBorder="1" applyAlignment="1">
      <alignment horizontal="center" vertical="center" wrapText="1"/>
    </xf>
    <xf numFmtId="0" fontId="26" fillId="39" borderId="69" xfId="0" applyFont="1" applyFill="1" applyBorder="1" applyAlignment="1">
      <alignment horizontal="center" vertical="center" wrapText="1"/>
    </xf>
    <xf numFmtId="0" fontId="26" fillId="39" borderId="214" xfId="0" applyFont="1" applyFill="1" applyBorder="1" applyAlignment="1">
      <alignment horizontal="center" vertical="center" wrapText="1"/>
    </xf>
    <xf numFmtId="180" fontId="26" fillId="0" borderId="36" xfId="0" applyNumberFormat="1" applyFont="1" applyFill="1" applyBorder="1" applyAlignment="1" applyProtection="1">
      <alignment horizontal="left" vertical="center"/>
      <protection locked="0"/>
    </xf>
    <xf numFmtId="0" fontId="6" fillId="0" borderId="36"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34" borderId="215" xfId="0" applyFont="1" applyFill="1" applyBorder="1" applyAlignment="1">
      <alignment horizontal="left" vertical="center"/>
    </xf>
    <xf numFmtId="0" fontId="6" fillId="0" borderId="95" xfId="0" applyFont="1" applyBorder="1" applyAlignment="1">
      <alignment horizontal="left" vertical="center"/>
    </xf>
    <xf numFmtId="0" fontId="26" fillId="34" borderId="127"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34" borderId="134" xfId="0" applyFont="1" applyFill="1" applyBorder="1" applyAlignment="1">
      <alignment horizontal="left" vertical="center" wrapText="1"/>
    </xf>
    <xf numFmtId="0" fontId="26" fillId="34" borderId="32" xfId="0" applyFont="1" applyFill="1" applyBorder="1" applyAlignment="1">
      <alignment horizontal="left" vertical="center" wrapText="1"/>
    </xf>
    <xf numFmtId="11" fontId="6" fillId="39" borderId="75" xfId="0" applyNumberFormat="1" applyFont="1" applyFill="1" applyBorder="1" applyAlignment="1" applyProtection="1">
      <alignment horizontal="center" vertical="center"/>
      <protection locked="0"/>
    </xf>
    <xf numFmtId="11" fontId="6" fillId="39" borderId="55" xfId="0" applyNumberFormat="1" applyFont="1" applyFill="1" applyBorder="1" applyAlignment="1" applyProtection="1">
      <alignment horizontal="center" vertical="center"/>
      <protection locked="0"/>
    </xf>
    <xf numFmtId="11" fontId="6" fillId="39" borderId="216" xfId="0" applyNumberFormat="1" applyFont="1" applyFill="1" applyBorder="1" applyAlignment="1" applyProtection="1">
      <alignment horizontal="center" vertical="center"/>
      <protection locked="0"/>
    </xf>
    <xf numFmtId="11" fontId="6" fillId="39" borderId="59" xfId="0" applyNumberFormat="1" applyFont="1" applyFill="1" applyBorder="1" applyAlignment="1" applyProtection="1">
      <alignment horizontal="center" vertical="center"/>
      <protection locked="0"/>
    </xf>
    <xf numFmtId="0" fontId="26" fillId="32" borderId="124" xfId="0" applyFont="1" applyFill="1" applyBorder="1" applyAlignment="1">
      <alignment horizontal="center" vertical="center" wrapText="1"/>
    </xf>
    <xf numFmtId="0" fontId="26" fillId="32" borderId="207" xfId="0" applyFont="1" applyFill="1" applyBorder="1" applyAlignment="1">
      <alignment vertical="center"/>
    </xf>
    <xf numFmtId="0" fontId="26" fillId="32" borderId="0" xfId="0" applyFont="1" applyFill="1" applyBorder="1" applyAlignment="1">
      <alignment horizontal="center" vertical="center" wrapText="1"/>
    </xf>
    <xf numFmtId="0" fontId="26" fillId="32" borderId="0" xfId="0" applyFont="1" applyFill="1" applyBorder="1" applyAlignment="1">
      <alignment vertical="center"/>
    </xf>
    <xf numFmtId="2" fontId="27" fillId="32" borderId="93" xfId="0" applyNumberFormat="1" applyFont="1" applyFill="1" applyBorder="1" applyAlignment="1">
      <alignment horizontal="center" vertical="center"/>
    </xf>
    <xf numFmtId="2" fontId="27" fillId="32" borderId="106" xfId="0" applyNumberFormat="1" applyFont="1" applyFill="1" applyBorder="1" applyAlignment="1">
      <alignment horizontal="center" vertical="center"/>
    </xf>
    <xf numFmtId="2" fontId="27" fillId="32" borderId="115" xfId="0" applyNumberFormat="1" applyFont="1" applyFill="1" applyBorder="1" applyAlignment="1">
      <alignment horizontal="center" vertical="center"/>
    </xf>
    <xf numFmtId="0" fontId="8" fillId="32" borderId="164" xfId="0" applyFont="1" applyFill="1" applyBorder="1" applyAlignment="1">
      <alignment horizontal="center" vertical="center"/>
    </xf>
    <xf numFmtId="0" fontId="8" fillId="32" borderId="165" xfId="0" applyFont="1" applyFill="1" applyBorder="1" applyAlignment="1">
      <alignment horizontal="center" vertical="center"/>
    </xf>
    <xf numFmtId="0" fontId="8" fillId="32" borderId="166" xfId="0" applyFont="1" applyFill="1" applyBorder="1" applyAlignment="1">
      <alignment horizontal="center" vertical="center"/>
    </xf>
    <xf numFmtId="0" fontId="26" fillId="32" borderId="10" xfId="0" applyFont="1" applyFill="1" applyBorder="1" applyAlignment="1">
      <alignment horizontal="center" vertical="center" wrapText="1"/>
    </xf>
    <xf numFmtId="0" fontId="26" fillId="32" borderId="16" xfId="0" applyFont="1" applyFill="1" applyBorder="1" applyAlignment="1">
      <alignment horizontal="center" vertical="center" wrapText="1"/>
    </xf>
    <xf numFmtId="0" fontId="26" fillId="32" borderId="48" xfId="0" applyFont="1" applyFill="1" applyBorder="1" applyAlignment="1">
      <alignment horizontal="center" vertical="center" wrapText="1"/>
    </xf>
    <xf numFmtId="0" fontId="26" fillId="32" borderId="92" xfId="0" applyFont="1" applyFill="1" applyBorder="1" applyAlignment="1">
      <alignment horizontal="center" vertical="center" wrapText="1"/>
    </xf>
    <xf numFmtId="0" fontId="6" fillId="34" borderId="217" xfId="0" applyFont="1" applyFill="1" applyBorder="1" applyAlignment="1">
      <alignment horizontal="left" vertical="center"/>
    </xf>
    <xf numFmtId="0" fontId="6" fillId="34" borderId="34" xfId="0" applyFont="1" applyFill="1" applyBorder="1" applyAlignment="1">
      <alignment horizontal="left" vertical="center"/>
    </xf>
    <xf numFmtId="0" fontId="8" fillId="32" borderId="10"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48" xfId="0" applyFont="1" applyFill="1" applyBorder="1" applyAlignment="1">
      <alignment horizontal="center" vertical="center" wrapText="1"/>
    </xf>
    <xf numFmtId="0" fontId="8" fillId="32" borderId="92" xfId="0" applyFont="1" applyFill="1" applyBorder="1" applyAlignment="1">
      <alignment horizontal="center" vertical="center" wrapText="1"/>
    </xf>
    <xf numFmtId="2" fontId="27" fillId="32" borderId="164" xfId="0" applyNumberFormat="1" applyFont="1" applyFill="1" applyBorder="1" applyAlignment="1">
      <alignment horizontal="center" vertical="center"/>
    </xf>
    <xf numFmtId="2" fontId="27" fillId="32" borderId="165" xfId="0" applyNumberFormat="1" applyFont="1" applyFill="1" applyBorder="1" applyAlignment="1">
      <alignment horizontal="center" vertical="center"/>
    </xf>
    <xf numFmtId="2" fontId="27" fillId="32" borderId="166" xfId="0" applyNumberFormat="1" applyFont="1" applyFill="1" applyBorder="1" applyAlignment="1">
      <alignment horizontal="center" vertical="center"/>
    </xf>
    <xf numFmtId="11" fontId="6" fillId="39" borderId="73" xfId="0" applyNumberFormat="1" applyFont="1" applyFill="1" applyBorder="1" applyAlignment="1" applyProtection="1">
      <alignment horizontal="center" vertical="center"/>
      <protection locked="0"/>
    </xf>
    <xf numFmtId="11" fontId="6" fillId="39" borderId="120" xfId="0" applyNumberFormat="1" applyFont="1" applyFill="1" applyBorder="1" applyAlignment="1" applyProtection="1">
      <alignment horizontal="center" vertical="center"/>
      <protection locked="0"/>
    </xf>
    <xf numFmtId="168" fontId="27" fillId="32" borderId="161" xfId="0" applyNumberFormat="1" applyFont="1" applyFill="1" applyBorder="1" applyAlignment="1">
      <alignment horizontal="center" vertical="center"/>
    </xf>
    <xf numFmtId="168" fontId="27" fillId="32" borderId="162" xfId="0" applyNumberFormat="1" applyFont="1" applyFill="1" applyBorder="1" applyAlignment="1">
      <alignment horizontal="center" vertical="center"/>
    </xf>
    <xf numFmtId="168" fontId="27" fillId="32" borderId="163" xfId="0" applyNumberFormat="1" applyFont="1" applyFill="1" applyBorder="1" applyAlignment="1">
      <alignment horizontal="center" vertical="center"/>
    </xf>
    <xf numFmtId="0" fontId="8" fillId="39" borderId="33" xfId="0" applyFont="1" applyFill="1" applyBorder="1" applyAlignment="1">
      <alignment horizontal="center" vertical="center"/>
    </xf>
    <xf numFmtId="0" fontId="8" fillId="39" borderId="48" xfId="0" applyFont="1" applyFill="1" applyBorder="1" applyAlignment="1">
      <alignment horizontal="center" vertical="center"/>
    </xf>
    <xf numFmtId="11" fontId="147" fillId="32" borderId="104" xfId="0" applyNumberFormat="1" applyFont="1" applyFill="1" applyBorder="1" applyAlignment="1">
      <alignment horizontal="center" vertical="center"/>
    </xf>
    <xf numFmtId="11" fontId="147" fillId="32" borderId="76" xfId="0" applyNumberFormat="1" applyFont="1" applyFill="1" applyBorder="1" applyAlignment="1">
      <alignment horizontal="center" vertical="center"/>
    </xf>
    <xf numFmtId="11" fontId="147" fillId="32" borderId="138" xfId="0" applyNumberFormat="1" applyFont="1" applyFill="1" applyBorder="1" applyAlignment="1">
      <alignment horizontal="center" vertical="center"/>
    </xf>
    <xf numFmtId="11" fontId="147" fillId="32" borderId="10" xfId="0" applyNumberFormat="1" applyFont="1" applyFill="1" applyBorder="1" applyAlignment="1">
      <alignment horizontal="center" vertical="center"/>
    </xf>
    <xf numFmtId="11" fontId="147" fillId="32" borderId="0" xfId="0" applyNumberFormat="1" applyFont="1" applyFill="1" applyBorder="1" applyAlignment="1">
      <alignment horizontal="center" vertical="center"/>
    </xf>
    <xf numFmtId="11" fontId="147" fillId="32" borderId="16" xfId="0" applyNumberFormat="1" applyFont="1" applyFill="1" applyBorder="1" applyAlignment="1">
      <alignment horizontal="center" vertical="center"/>
    </xf>
    <xf numFmtId="11" fontId="147" fillId="32" borderId="25" xfId="0" applyNumberFormat="1" applyFont="1" applyFill="1" applyBorder="1" applyAlignment="1">
      <alignment horizontal="center" vertical="center"/>
    </xf>
    <xf numFmtId="11" fontId="147" fillId="32" borderId="23" xfId="0" applyNumberFormat="1" applyFont="1" applyFill="1" applyBorder="1" applyAlignment="1">
      <alignment horizontal="center" vertical="center"/>
    </xf>
    <xf numFmtId="11" fontId="147" fillId="32" borderId="24" xfId="0" applyNumberFormat="1" applyFont="1" applyFill="1" applyBorder="1" applyAlignment="1">
      <alignment horizontal="center" vertical="center"/>
    </xf>
    <xf numFmtId="0" fontId="6" fillId="32" borderId="204" xfId="0" applyFont="1" applyFill="1" applyBorder="1" applyAlignment="1">
      <alignment horizontal="center" vertical="center" wrapText="1"/>
    </xf>
    <xf numFmtId="0" fontId="6" fillId="39" borderId="210" xfId="0" applyFont="1" applyFill="1" applyBorder="1" applyAlignment="1">
      <alignment horizontal="center" vertical="center" wrapText="1"/>
    </xf>
    <xf numFmtId="0" fontId="6" fillId="39" borderId="35" xfId="0" applyFont="1" applyFill="1" applyBorder="1" applyAlignment="1">
      <alignment horizontal="center" vertical="center" wrapText="1"/>
    </xf>
    <xf numFmtId="0" fontId="6" fillId="39" borderId="211" xfId="0" applyFont="1" applyFill="1" applyBorder="1" applyAlignment="1">
      <alignment horizontal="center" vertical="center" wrapText="1"/>
    </xf>
    <xf numFmtId="0" fontId="6" fillId="39" borderId="92" xfId="0" applyFont="1" applyFill="1" applyBorder="1" applyAlignment="1">
      <alignment horizontal="center" vertical="center" wrapText="1"/>
    </xf>
    <xf numFmtId="0" fontId="6" fillId="34" borderId="56" xfId="0" applyFont="1" applyFill="1" applyBorder="1" applyAlignment="1">
      <alignment horizontal="center" vertical="center"/>
    </xf>
    <xf numFmtId="0" fontId="6" fillId="34" borderId="58" xfId="0" applyFont="1" applyFill="1" applyBorder="1" applyAlignment="1">
      <alignment horizontal="center" vertical="center"/>
    </xf>
    <xf numFmtId="0" fontId="6" fillId="34" borderId="59" xfId="0" applyFont="1" applyFill="1" applyBorder="1" applyAlignment="1">
      <alignment horizontal="center" vertical="center"/>
    </xf>
    <xf numFmtId="0" fontId="8" fillId="0" borderId="46" xfId="0" applyFont="1" applyFill="1" applyBorder="1" applyAlignment="1">
      <alignment horizontal="center"/>
    </xf>
    <xf numFmtId="0" fontId="8" fillId="0" borderId="21" xfId="0" applyFont="1" applyFill="1" applyBorder="1" applyAlignment="1">
      <alignment horizontal="center"/>
    </xf>
    <xf numFmtId="0" fontId="8" fillId="0" borderId="45" xfId="0" applyFont="1" applyFill="1" applyBorder="1" applyAlignment="1">
      <alignment horizontal="center"/>
    </xf>
    <xf numFmtId="0" fontId="10" fillId="34" borderId="28" xfId="0" applyFont="1" applyFill="1" applyBorder="1" applyAlignment="1">
      <alignment horizontal="center"/>
    </xf>
    <xf numFmtId="0" fontId="14" fillId="34" borderId="29" xfId="0" applyFont="1" applyFill="1" applyBorder="1" applyAlignment="1">
      <alignment horizontal="center"/>
    </xf>
    <xf numFmtId="0" fontId="14" fillId="34" borderId="31" xfId="0" applyFont="1" applyFill="1" applyBorder="1" applyAlignment="1">
      <alignment horizontal="center"/>
    </xf>
    <xf numFmtId="0" fontId="86" fillId="34" borderId="0" xfId="0" applyFont="1" applyFill="1" applyBorder="1" applyAlignment="1">
      <alignment horizontal="center" vertical="center"/>
    </xf>
    <xf numFmtId="0" fontId="87" fillId="34" borderId="0" xfId="0" applyFont="1" applyFill="1" applyBorder="1" applyAlignment="1">
      <alignment horizontal="center" vertical="center"/>
    </xf>
    <xf numFmtId="0" fontId="6" fillId="34" borderId="56" xfId="0" applyFont="1" applyFill="1" applyBorder="1" applyAlignment="1">
      <alignment horizontal="center"/>
    </xf>
    <xf numFmtId="0" fontId="6" fillId="34" borderId="58" xfId="0" applyFont="1" applyFill="1" applyBorder="1" applyAlignment="1">
      <alignment horizontal="center"/>
    </xf>
    <xf numFmtId="0" fontId="6" fillId="34" borderId="59" xfId="0" applyFont="1" applyFill="1" applyBorder="1" applyAlignment="1">
      <alignment horizontal="center"/>
    </xf>
    <xf numFmtId="0" fontId="19" fillId="38" borderId="104" xfId="0" applyFont="1" applyFill="1" applyBorder="1" applyAlignment="1" applyProtection="1">
      <alignment horizontal="center" wrapText="1"/>
      <protection/>
    </xf>
    <xf numFmtId="0" fontId="19" fillId="38" borderId="10" xfId="0" applyFont="1" applyFill="1" applyBorder="1" applyAlignment="1" applyProtection="1">
      <alignment horizontal="center" wrapText="1"/>
      <protection/>
    </xf>
    <xf numFmtId="0" fontId="19" fillId="38" borderId="138" xfId="0" applyFont="1" applyFill="1" applyBorder="1" applyAlignment="1" applyProtection="1">
      <alignment horizontal="center" vertical="center" wrapText="1"/>
      <protection/>
    </xf>
    <xf numFmtId="0" fontId="19" fillId="38" borderId="16" xfId="0" applyFont="1" applyFill="1" applyBorder="1" applyAlignment="1" applyProtection="1">
      <alignment horizontal="center" vertical="center" wrapText="1"/>
      <protection/>
    </xf>
    <xf numFmtId="0" fontId="19" fillId="38" borderId="38" xfId="0" applyFont="1" applyFill="1" applyBorder="1" applyAlignment="1" applyProtection="1">
      <alignment horizontal="center" vertical="center" wrapText="1"/>
      <protection/>
    </xf>
    <xf numFmtId="0" fontId="19" fillId="38" borderId="65" xfId="0" applyFont="1" applyFill="1" applyBorder="1" applyAlignment="1" applyProtection="1">
      <alignment horizontal="center" wrapText="1"/>
      <protection/>
    </xf>
    <xf numFmtId="0" fontId="19" fillId="38" borderId="67" xfId="0" applyFont="1" applyFill="1" applyBorder="1" applyAlignment="1" applyProtection="1">
      <alignment horizontal="center" wrapText="1"/>
      <protection/>
    </xf>
    <xf numFmtId="0" fontId="19" fillId="38" borderId="76" xfId="0" applyFont="1" applyFill="1" applyBorder="1" applyAlignment="1" applyProtection="1">
      <alignment horizontal="center" wrapText="1"/>
      <protection/>
    </xf>
    <xf numFmtId="0" fontId="19" fillId="38" borderId="17" xfId="0" applyFont="1" applyFill="1" applyBorder="1" applyAlignment="1" applyProtection="1">
      <alignment horizontal="center" wrapText="1"/>
      <protection/>
    </xf>
    <xf numFmtId="0" fontId="19" fillId="38" borderId="102" xfId="0" applyFont="1" applyFill="1" applyBorder="1" applyAlignment="1">
      <alignment horizontal="center" vertical="center" wrapText="1"/>
    </xf>
    <xf numFmtId="0" fontId="19" fillId="38" borderId="51" xfId="0" applyFont="1" applyFill="1" applyBorder="1" applyAlignment="1" applyProtection="1">
      <alignment horizontal="center" vertical="center" wrapText="1"/>
      <protection/>
    </xf>
    <xf numFmtId="0" fontId="19" fillId="38" borderId="19" xfId="0" applyFont="1" applyFill="1" applyBorder="1" applyAlignment="1" applyProtection="1">
      <alignment horizontal="center" vertical="center" wrapText="1"/>
      <protection/>
    </xf>
    <xf numFmtId="0" fontId="8" fillId="34" borderId="46" xfId="0" applyFont="1" applyFill="1" applyBorder="1" applyAlignment="1" applyProtection="1">
      <alignment horizontal="center"/>
      <protection/>
    </xf>
    <xf numFmtId="0" fontId="2" fillId="34" borderId="21" xfId="0" applyFont="1" applyFill="1" applyBorder="1" applyAlignment="1" applyProtection="1">
      <alignment horizontal="center"/>
      <protection/>
    </xf>
    <xf numFmtId="0" fontId="2" fillId="34" borderId="45" xfId="0" applyFont="1" applyFill="1" applyBorder="1" applyAlignment="1" applyProtection="1">
      <alignment horizontal="center"/>
      <protection/>
    </xf>
    <xf numFmtId="0" fontId="88" fillId="38" borderId="25" xfId="0" applyFont="1" applyFill="1" applyBorder="1" applyAlignment="1">
      <alignment horizontal="right" vertical="center"/>
    </xf>
    <xf numFmtId="0" fontId="89" fillId="38" borderId="23" xfId="0" applyFont="1" applyFill="1" applyBorder="1" applyAlignment="1">
      <alignment vertical="center"/>
    </xf>
    <xf numFmtId="0" fontId="89" fillId="38" borderId="24" xfId="0" applyFont="1" applyFill="1" applyBorder="1" applyAlignment="1">
      <alignment vertical="center"/>
    </xf>
    <xf numFmtId="0" fontId="10" fillId="38" borderId="86" xfId="0" applyFont="1" applyFill="1" applyBorder="1" applyAlignment="1">
      <alignment horizontal="center"/>
    </xf>
    <xf numFmtId="0" fontId="10" fillId="38" borderId="87" xfId="0" applyFont="1" applyFill="1" applyBorder="1" applyAlignment="1">
      <alignment horizontal="center"/>
    </xf>
    <xf numFmtId="0" fontId="10" fillId="38" borderId="88" xfId="0" applyFont="1" applyFill="1" applyBorder="1" applyAlignment="1">
      <alignment horizontal="center"/>
    </xf>
    <xf numFmtId="0" fontId="19" fillId="34" borderId="104" xfId="0"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xf>
    <xf numFmtId="0" fontId="19" fillId="34" borderId="37" xfId="0" applyFont="1" applyFill="1" applyBorder="1" applyAlignment="1" applyProtection="1">
      <alignment horizontal="center" vertical="center" wrapText="1"/>
      <protection/>
    </xf>
    <xf numFmtId="0" fontId="142" fillId="37" borderId="23" xfId="53" applyFont="1" applyFill="1" applyBorder="1" applyAlignment="1" applyProtection="1">
      <alignment horizontal="left"/>
      <protection/>
    </xf>
    <xf numFmtId="0" fontId="9" fillId="37" borderId="29" xfId="0" applyFont="1" applyFill="1" applyBorder="1" applyAlignment="1" applyProtection="1">
      <alignment horizontal="center" vertical="center"/>
      <protection/>
    </xf>
    <xf numFmtId="0" fontId="0" fillId="37" borderId="29" xfId="0" applyFill="1" applyBorder="1" applyAlignment="1">
      <alignment horizontal="center" vertical="center"/>
    </xf>
    <xf numFmtId="0" fontId="6"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9" fillId="0" borderId="28" xfId="0" applyFont="1" applyFill="1" applyBorder="1" applyAlignment="1" applyProtection="1">
      <alignment horizontal="left" vertical="center" wrapText="1"/>
      <protection/>
    </xf>
    <xf numFmtId="0" fontId="0" fillId="0" borderId="29" xfId="0" applyFill="1" applyBorder="1" applyAlignment="1" applyProtection="1">
      <alignment horizontal="left" vertical="center" wrapText="1"/>
      <protection/>
    </xf>
    <xf numFmtId="0" fontId="0" fillId="37" borderId="31" xfId="0" applyFill="1" applyBorder="1" applyAlignment="1">
      <alignment horizontal="center" vertical="center"/>
    </xf>
    <xf numFmtId="0" fontId="8" fillId="34" borderId="33"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168" fontId="55" fillId="34" borderId="0" xfId="0" applyNumberFormat="1" applyFont="1" applyFill="1" applyBorder="1" applyAlignment="1">
      <alignment horizontal="left" vertical="center"/>
    </xf>
    <xf numFmtId="168" fontId="55" fillId="34" borderId="16" xfId="0" applyNumberFormat="1" applyFont="1" applyFill="1" applyBorder="1" applyAlignment="1">
      <alignment horizontal="left" vertical="center"/>
    </xf>
    <xf numFmtId="169" fontId="55" fillId="34" borderId="0" xfId="61" applyNumberFormat="1" applyFont="1" applyFill="1" applyBorder="1" applyAlignment="1">
      <alignment horizontal="left" vertical="center"/>
    </xf>
    <xf numFmtId="169" fontId="55" fillId="34" borderId="16" xfId="61" applyNumberFormat="1" applyFont="1" applyFill="1" applyBorder="1" applyAlignment="1">
      <alignment horizontal="left" vertical="center"/>
    </xf>
    <xf numFmtId="0" fontId="6" fillId="34" borderId="99" xfId="0" applyFont="1" applyFill="1" applyBorder="1" applyAlignment="1">
      <alignment horizontal="left" vertical="center"/>
    </xf>
    <xf numFmtId="0" fontId="6" fillId="34" borderId="100" xfId="0" applyFont="1" applyFill="1" applyBorder="1" applyAlignment="1">
      <alignment horizontal="left" vertical="center"/>
    </xf>
    <xf numFmtId="0" fontId="6" fillId="34" borderId="95" xfId="0" applyFont="1" applyFill="1" applyBorder="1" applyAlignment="1">
      <alignment horizontal="left" vertical="center"/>
    </xf>
    <xf numFmtId="0" fontId="6" fillId="34" borderId="101" xfId="0" applyFont="1" applyFill="1" applyBorder="1" applyAlignment="1">
      <alignment horizontal="left" vertical="center"/>
    </xf>
    <xf numFmtId="167" fontId="55" fillId="34" borderId="122" xfId="0" applyNumberFormat="1" applyFont="1" applyFill="1" applyBorder="1" applyAlignment="1">
      <alignment horizontal="left" vertical="center"/>
    </xf>
    <xf numFmtId="167" fontId="55" fillId="34" borderId="123" xfId="0" applyNumberFormat="1" applyFont="1" applyFill="1" applyBorder="1" applyAlignment="1">
      <alignment horizontal="left" vertical="center"/>
    </xf>
    <xf numFmtId="167" fontId="55" fillId="34" borderId="0" xfId="0" applyNumberFormat="1" applyFont="1" applyFill="1" applyBorder="1" applyAlignment="1">
      <alignment horizontal="left" vertical="center"/>
    </xf>
    <xf numFmtId="167" fontId="55" fillId="34" borderId="16" xfId="0" applyNumberFormat="1" applyFont="1" applyFill="1" applyBorder="1" applyAlignment="1">
      <alignment horizontal="left" vertical="center"/>
    </xf>
    <xf numFmtId="0" fontId="78" fillId="34" borderId="99" xfId="0" applyFont="1" applyFill="1" applyBorder="1" applyAlignment="1">
      <alignment horizontal="left" vertical="center"/>
    </xf>
    <xf numFmtId="0" fontId="78" fillId="34" borderId="100" xfId="0" applyFont="1" applyFill="1" applyBorder="1" applyAlignment="1">
      <alignment horizontal="left" vertical="center"/>
    </xf>
    <xf numFmtId="0" fontId="26" fillId="34" borderId="95" xfId="0" applyFont="1" applyFill="1" applyBorder="1" applyAlignment="1">
      <alignment horizontal="left" vertical="center"/>
    </xf>
    <xf numFmtId="0" fontId="26" fillId="34" borderId="101" xfId="0" applyFont="1" applyFill="1" applyBorder="1" applyAlignment="1">
      <alignment horizontal="left" vertical="center"/>
    </xf>
    <xf numFmtId="0" fontId="43" fillId="34" borderId="25" xfId="0" applyFont="1" applyFill="1" applyBorder="1" applyAlignment="1">
      <alignment horizontal="left"/>
    </xf>
    <xf numFmtId="0" fontId="43" fillId="34" borderId="23" xfId="0" applyFont="1" applyFill="1" applyBorder="1" applyAlignment="1">
      <alignment horizontal="left"/>
    </xf>
    <xf numFmtId="0" fontId="43" fillId="34" borderId="24" xfId="0" applyFont="1" applyFill="1" applyBorder="1" applyAlignment="1">
      <alignment horizontal="left"/>
    </xf>
    <xf numFmtId="0" fontId="26" fillId="34" borderId="33" xfId="0" applyFont="1" applyFill="1" applyBorder="1" applyAlignment="1" applyProtection="1">
      <alignment horizontal="center" vertical="center" wrapText="1"/>
      <protection/>
    </xf>
    <xf numFmtId="0" fontId="26" fillId="34" borderId="10" xfId="0" applyFont="1" applyFill="1" applyBorder="1" applyAlignment="1" applyProtection="1">
      <alignment horizontal="center" vertical="center" wrapText="1"/>
      <protection/>
    </xf>
    <xf numFmtId="0" fontId="26" fillId="34" borderId="48" xfId="0" applyFont="1" applyFill="1" applyBorder="1" applyAlignment="1" applyProtection="1">
      <alignment horizontal="center" vertical="center" wrapText="1"/>
      <protection/>
    </xf>
    <xf numFmtId="0" fontId="26" fillId="34" borderId="34" xfId="0" applyFont="1" applyFill="1" applyBorder="1" applyAlignment="1" applyProtection="1">
      <alignment horizontal="center" vertical="center" wrapText="1"/>
      <protection/>
    </xf>
    <xf numFmtId="0" fontId="26" fillId="34" borderId="0" xfId="0" applyFont="1" applyFill="1" applyBorder="1" applyAlignment="1" applyProtection="1">
      <alignment horizontal="center" vertical="center" wrapText="1"/>
      <protection/>
    </xf>
    <xf numFmtId="0" fontId="26" fillId="34" borderId="35" xfId="0" applyFont="1" applyFill="1" applyBorder="1" applyAlignment="1" applyProtection="1">
      <alignment horizontal="center" vertical="center" wrapText="1"/>
      <protection/>
    </xf>
    <xf numFmtId="0" fontId="26" fillId="34" borderId="16" xfId="0" applyFont="1" applyFill="1" applyBorder="1" applyAlignment="1" applyProtection="1">
      <alignment horizontal="center" vertical="center" wrapText="1"/>
      <protection/>
    </xf>
    <xf numFmtId="0" fontId="26" fillId="34" borderId="38" xfId="0" applyFont="1" applyFill="1" applyBorder="1" applyAlignment="1" applyProtection="1">
      <alignment horizontal="center" vertical="center" wrapText="1"/>
      <protection/>
    </xf>
    <xf numFmtId="0" fontId="112" fillId="34" borderId="196" xfId="0" applyFont="1" applyFill="1" applyBorder="1" applyAlignment="1" applyProtection="1">
      <alignment horizontal="center" vertical="center" wrapText="1"/>
      <protection/>
    </xf>
    <xf numFmtId="0" fontId="112" fillId="34" borderId="102" xfId="0" applyFont="1" applyFill="1" applyBorder="1" applyAlignment="1" applyProtection="1">
      <alignment horizontal="center" vertical="center" wrapText="1"/>
      <protection/>
    </xf>
    <xf numFmtId="11" fontId="6" fillId="34" borderId="23" xfId="0" applyNumberFormat="1" applyFont="1" applyFill="1" applyBorder="1" applyAlignment="1">
      <alignment horizontal="left" vertical="center"/>
    </xf>
    <xf numFmtId="11" fontId="6" fillId="34" borderId="24" xfId="0" applyNumberFormat="1" applyFont="1" applyFill="1" applyBorder="1" applyAlignment="1">
      <alignment horizontal="left" vertical="center"/>
    </xf>
    <xf numFmtId="2" fontId="8" fillId="34" borderId="122" xfId="0" applyNumberFormat="1" applyFont="1" applyFill="1" applyBorder="1" applyAlignment="1">
      <alignment horizontal="left" vertical="center"/>
    </xf>
    <xf numFmtId="2" fontId="8" fillId="34" borderId="123" xfId="0" applyNumberFormat="1" applyFont="1" applyFill="1" applyBorder="1" applyAlignment="1">
      <alignment horizontal="left" vertical="center"/>
    </xf>
    <xf numFmtId="10" fontId="55" fillId="34" borderId="0" xfId="61" applyNumberFormat="1" applyFont="1" applyFill="1" applyBorder="1" applyAlignment="1">
      <alignment horizontal="left" vertical="center"/>
    </xf>
    <xf numFmtId="10" fontId="55" fillId="34" borderId="16" xfId="61" applyNumberFormat="1" applyFont="1" applyFill="1" applyBorder="1" applyAlignment="1">
      <alignment horizontal="left" vertical="center"/>
    </xf>
    <xf numFmtId="167" fontId="55" fillId="34" borderId="95" xfId="61" applyNumberFormat="1" applyFont="1" applyFill="1" applyBorder="1" applyAlignment="1">
      <alignment horizontal="left" vertical="center"/>
    </xf>
    <xf numFmtId="167" fontId="55" fillId="34" borderId="101" xfId="61" applyNumberFormat="1" applyFont="1" applyFill="1" applyBorder="1" applyAlignment="1">
      <alignment horizontal="left" vertical="center"/>
    </xf>
    <xf numFmtId="14" fontId="6" fillId="34" borderId="76" xfId="0" applyNumberFormat="1" applyFont="1" applyFill="1" applyBorder="1" applyAlignment="1" applyProtection="1">
      <alignment horizontal="left" vertical="center"/>
      <protection/>
    </xf>
    <xf numFmtId="0" fontId="8" fillId="34" borderId="86" xfId="0" applyFont="1" applyFill="1" applyBorder="1" applyAlignment="1">
      <alignment horizontal="center" vertical="center"/>
    </xf>
    <xf numFmtId="0" fontId="8" fillId="34" borderId="87" xfId="0" applyFont="1" applyFill="1" applyBorder="1" applyAlignment="1">
      <alignment horizontal="center" vertical="center"/>
    </xf>
    <xf numFmtId="0" fontId="8" fillId="34" borderId="88" xfId="0" applyFont="1" applyFill="1" applyBorder="1" applyAlignment="1">
      <alignment horizontal="center" vertical="center"/>
    </xf>
    <xf numFmtId="0" fontId="8" fillId="34" borderId="35" xfId="0" applyFont="1" applyFill="1" applyBorder="1" applyAlignment="1">
      <alignment horizontal="center" vertical="center" wrapText="1"/>
    </xf>
    <xf numFmtId="0" fontId="8" fillId="34" borderId="48" xfId="0" applyFont="1" applyFill="1" applyBorder="1" applyAlignment="1">
      <alignment horizontal="center" vertical="center" wrapText="1"/>
    </xf>
    <xf numFmtId="0" fontId="8" fillId="34" borderId="32" xfId="0" applyFont="1" applyFill="1" applyBorder="1" applyAlignment="1">
      <alignment horizontal="center" vertical="center" wrapText="1"/>
    </xf>
    <xf numFmtId="0" fontId="8" fillId="34" borderId="92" xfId="0" applyFont="1" applyFill="1" applyBorder="1" applyAlignment="1">
      <alignment horizontal="center" vertical="center" wrapText="1"/>
    </xf>
    <xf numFmtId="0" fontId="8" fillId="34" borderId="28" xfId="0" applyFont="1" applyFill="1" applyBorder="1" applyAlignment="1" applyProtection="1">
      <alignment horizontal="center" vertical="center"/>
      <protection/>
    </xf>
    <xf numFmtId="0" fontId="0" fillId="34" borderId="29" xfId="0" applyFont="1" applyFill="1" applyBorder="1" applyAlignment="1">
      <alignment horizontal="center" vertical="center"/>
    </xf>
    <xf numFmtId="0" fontId="0" fillId="34" borderId="31" xfId="0" applyFont="1" applyFill="1" applyBorder="1" applyAlignment="1">
      <alignment horizontal="center" vertical="center"/>
    </xf>
    <xf numFmtId="0" fontId="112" fillId="34" borderId="35" xfId="0" applyFont="1" applyFill="1" applyBorder="1" applyAlignment="1" applyProtection="1">
      <alignment horizontal="center" vertical="center" wrapText="1"/>
      <protection/>
    </xf>
    <xf numFmtId="0" fontId="122" fillId="34" borderId="38" xfId="0" applyFont="1" applyFill="1" applyBorder="1" applyAlignment="1">
      <alignment horizontal="center" vertical="center" wrapText="1"/>
    </xf>
    <xf numFmtId="0" fontId="112" fillId="34" borderId="69" xfId="0" applyFont="1" applyFill="1" applyBorder="1" applyAlignment="1" applyProtection="1">
      <alignment horizontal="center" vertical="center" wrapText="1"/>
      <protection/>
    </xf>
    <xf numFmtId="0" fontId="112" fillId="34" borderId="19" xfId="0" applyFont="1" applyFill="1" applyBorder="1" applyAlignment="1" applyProtection="1">
      <alignment horizontal="center" vertical="center" wrapText="1"/>
      <protection/>
    </xf>
    <xf numFmtId="0" fontId="0" fillId="0" borderId="0" xfId="0" applyFill="1" applyAlignment="1">
      <alignment horizontal="right"/>
    </xf>
    <xf numFmtId="0" fontId="14" fillId="0" borderId="33" xfId="0" applyFont="1" applyFill="1" applyBorder="1" applyAlignment="1">
      <alignment wrapText="1"/>
    </xf>
    <xf numFmtId="0" fontId="14" fillId="0" borderId="34" xfId="0" applyFont="1" applyFill="1" applyBorder="1" applyAlignment="1">
      <alignment wrapText="1"/>
    </xf>
    <xf numFmtId="0" fontId="14" fillId="0" borderId="25" xfId="0" applyFont="1" applyFill="1" applyBorder="1" applyAlignment="1">
      <alignment wrapText="1"/>
    </xf>
    <xf numFmtId="0" fontId="14" fillId="0" borderId="23" xfId="0" applyFont="1" applyFill="1" applyBorder="1" applyAlignment="1">
      <alignment wrapText="1"/>
    </xf>
    <xf numFmtId="0" fontId="14" fillId="0" borderId="191" xfId="0" applyFont="1" applyFill="1" applyBorder="1" applyAlignment="1">
      <alignment wrapText="1"/>
    </xf>
    <xf numFmtId="0" fontId="14" fillId="0" borderId="64" xfId="0" applyFont="1" applyFill="1" applyBorder="1" applyAlignment="1">
      <alignment wrapText="1"/>
    </xf>
    <xf numFmtId="0" fontId="14" fillId="0" borderId="28" xfId="0" applyFont="1" applyFill="1" applyBorder="1" applyAlignment="1">
      <alignment horizontal="center"/>
    </xf>
    <xf numFmtId="0" fontId="0" fillId="0" borderId="29" xfId="0" applyFont="1" applyFill="1" applyBorder="1" applyAlignment="1">
      <alignment horizontal="center"/>
    </xf>
    <xf numFmtId="0" fontId="0" fillId="0" borderId="31" xfId="0" applyFont="1" applyFill="1" applyBorder="1" applyAlignment="1">
      <alignment horizontal="center"/>
    </xf>
    <xf numFmtId="0" fontId="1" fillId="0" borderId="28" xfId="0" applyFont="1" applyFill="1" applyBorder="1" applyAlignment="1">
      <alignment horizontal="center"/>
    </xf>
    <xf numFmtId="0" fontId="1" fillId="0" borderId="31" xfId="0" applyFont="1" applyFill="1" applyBorder="1" applyAlignment="1">
      <alignment horizontal="center"/>
    </xf>
    <xf numFmtId="0" fontId="14"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29" xfId="0" applyFont="1" applyFill="1" applyBorder="1" applyAlignment="1">
      <alignment wrapText="1"/>
    </xf>
    <xf numFmtId="0" fontId="0" fillId="0" borderId="31" xfId="0" applyFont="1" applyFill="1" applyBorder="1" applyAlignment="1">
      <alignment wrapText="1"/>
    </xf>
    <xf numFmtId="0" fontId="1" fillId="0" borderId="29" xfId="0" applyFont="1" applyFill="1" applyBorder="1" applyAlignment="1">
      <alignment horizontal="center" wrapText="1"/>
    </xf>
    <xf numFmtId="0" fontId="1" fillId="0" borderId="31" xfId="0" applyFont="1" applyFill="1" applyBorder="1" applyAlignment="1">
      <alignment horizontal="center" wrapText="1"/>
    </xf>
    <xf numFmtId="0" fontId="1" fillId="0" borderId="28" xfId="0" applyFont="1" applyFill="1" applyBorder="1" applyAlignment="1">
      <alignment horizontal="center" wrapText="1"/>
    </xf>
    <xf numFmtId="11" fontId="6" fillId="0" borderId="0" xfId="0" applyNumberFormat="1" applyFont="1" applyFill="1" applyBorder="1" applyAlignment="1">
      <alignment horizontal="left" vertical="center"/>
    </xf>
    <xf numFmtId="0" fontId="10" fillId="34" borderId="86" xfId="0" applyFont="1" applyFill="1" applyBorder="1" applyAlignment="1">
      <alignment horizontal="center" vertical="center" wrapText="1"/>
    </xf>
    <xf numFmtId="0" fontId="10" fillId="34" borderId="87" xfId="0" applyFont="1" applyFill="1" applyBorder="1" applyAlignment="1">
      <alignment horizontal="center" vertical="center" wrapText="1"/>
    </xf>
    <xf numFmtId="0" fontId="10" fillId="34" borderId="88" xfId="0" applyFont="1" applyFill="1" applyBorder="1" applyAlignment="1">
      <alignment horizontal="center" vertical="center" wrapText="1"/>
    </xf>
    <xf numFmtId="0" fontId="40" fillId="34" borderId="28" xfId="0" applyFont="1" applyFill="1" applyBorder="1" applyAlignment="1" applyProtection="1">
      <alignment horizontal="left" vertical="center" wrapText="1"/>
      <protection/>
    </xf>
    <xf numFmtId="0" fontId="40" fillId="34" borderId="29" xfId="0" applyFont="1" applyFill="1" applyBorder="1" applyAlignment="1" applyProtection="1">
      <alignment horizontal="left" vertical="center" wrapText="1"/>
      <protection/>
    </xf>
    <xf numFmtId="0" fontId="40" fillId="34" borderId="31" xfId="0" applyFont="1" applyFill="1" applyBorder="1" applyAlignment="1" applyProtection="1">
      <alignment horizontal="left" vertical="center" wrapText="1"/>
      <protection/>
    </xf>
    <xf numFmtId="0" fontId="10" fillId="34" borderId="86" xfId="0" applyFont="1" applyFill="1" applyBorder="1" applyAlignment="1" applyProtection="1">
      <alignment horizontal="center" vertical="center"/>
      <protection/>
    </xf>
    <xf numFmtId="0" fontId="10" fillId="34" borderId="87" xfId="0" applyFont="1" applyFill="1" applyBorder="1" applyAlignment="1" applyProtection="1">
      <alignment horizontal="center" vertical="center"/>
      <protection/>
    </xf>
    <xf numFmtId="0" fontId="10" fillId="34" borderId="88" xfId="0" applyFont="1" applyFill="1" applyBorder="1" applyAlignment="1" applyProtection="1">
      <alignment horizontal="center" vertical="center"/>
      <protection/>
    </xf>
    <xf numFmtId="2" fontId="6" fillId="0" borderId="0" xfId="0" applyNumberFormat="1" applyFont="1" applyFill="1" applyBorder="1" applyAlignment="1">
      <alignment horizontal="left" vertical="center"/>
    </xf>
    <xf numFmtId="0" fontId="26" fillId="34" borderId="37" xfId="0" applyFont="1" applyFill="1" applyBorder="1" applyAlignment="1" applyProtection="1">
      <alignment horizontal="center" vertical="center" wrapText="1"/>
      <protection/>
    </xf>
    <xf numFmtId="0" fontId="26" fillId="34" borderId="196" xfId="0" applyFont="1" applyFill="1" applyBorder="1" applyAlignment="1" applyProtection="1">
      <alignment horizontal="center" vertical="center" wrapText="1"/>
      <protection/>
    </xf>
    <xf numFmtId="0" fontId="26" fillId="34" borderId="47" xfId="0" applyFont="1" applyFill="1" applyBorder="1" applyAlignment="1" applyProtection="1">
      <alignment horizontal="center" vertical="center" wrapText="1"/>
      <protection/>
    </xf>
    <xf numFmtId="0" fontId="26" fillId="34" borderId="102" xfId="0" applyFont="1" applyFill="1" applyBorder="1" applyAlignment="1" applyProtection="1">
      <alignment horizontal="center" vertical="center" wrapText="1"/>
      <protection/>
    </xf>
    <xf numFmtId="0" fontId="26" fillId="34" borderId="17" xfId="0" applyFont="1" applyFill="1" applyBorder="1" applyAlignment="1" applyProtection="1">
      <alignment horizontal="center" vertical="center" wrapText="1"/>
      <protection/>
    </xf>
    <xf numFmtId="168" fontId="77" fillId="0" borderId="34" xfId="0" applyNumberFormat="1" applyFont="1" applyFill="1" applyBorder="1" applyAlignment="1" applyProtection="1">
      <alignment horizontal="left" vertical="center"/>
      <protection/>
    </xf>
    <xf numFmtId="0" fontId="17" fillId="0" borderId="34" xfId="0" applyFont="1" applyFill="1" applyBorder="1" applyAlignment="1">
      <alignment horizontal="left" vertical="center"/>
    </xf>
    <xf numFmtId="0" fontId="26" fillId="34" borderId="28" xfId="0" applyFont="1" applyFill="1" applyBorder="1" applyAlignment="1" applyProtection="1">
      <alignment horizontal="center" vertical="center"/>
      <protection/>
    </xf>
    <xf numFmtId="0" fontId="17" fillId="34" borderId="29" xfId="0" applyFont="1" applyFill="1" applyBorder="1" applyAlignment="1">
      <alignment vertical="center"/>
    </xf>
    <xf numFmtId="0" fontId="17" fillId="34" borderId="31" xfId="0" applyFont="1" applyFill="1" applyBorder="1" applyAlignment="1">
      <alignment vertical="center"/>
    </xf>
    <xf numFmtId="0" fontId="26" fillId="34" borderId="69" xfId="0" applyFont="1" applyFill="1" applyBorder="1" applyAlignment="1" applyProtection="1">
      <alignment horizontal="center" vertical="center" wrapText="1"/>
      <protection/>
    </xf>
    <xf numFmtId="0" fontId="26" fillId="34" borderId="44" xfId="0" applyFont="1" applyFill="1" applyBorder="1" applyAlignment="1" applyProtection="1">
      <alignment horizontal="center" vertical="center" wrapText="1"/>
      <protection/>
    </xf>
    <xf numFmtId="0" fontId="26" fillId="34" borderId="19"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IOCHLOR22_2000" xfId="57"/>
    <cellStyle name="Normal_SOILMOD_benzene" xfId="58"/>
    <cellStyle name="Note" xfId="59"/>
    <cellStyle name="Output" xfId="60"/>
    <cellStyle name="Percent" xfId="61"/>
    <cellStyle name="Title" xfId="62"/>
    <cellStyle name="Total" xfId="63"/>
    <cellStyle name="Warning Text" xfId="64"/>
  </cellStyles>
  <dxfs count="15">
    <dxf>
      <font>
        <b val="0"/>
        <i/>
        <color indexed="10"/>
      </font>
    </dxf>
    <dxf>
      <font>
        <b/>
        <i/>
        <color indexed="10"/>
      </font>
    </dxf>
    <dxf>
      <font>
        <b val="0"/>
        <i/>
        <color indexed="10"/>
      </font>
    </dxf>
    <dxf>
      <font>
        <b val="0"/>
        <i/>
        <color indexed="10"/>
      </font>
    </dxf>
    <dxf>
      <font>
        <b val="0"/>
        <i/>
        <color indexed="10"/>
      </font>
    </dxf>
    <dxf>
      <font>
        <b val="0"/>
        <i/>
        <color indexed="10"/>
      </font>
    </dxf>
    <dxf>
      <font>
        <b/>
        <i/>
        <color indexed="10"/>
      </font>
    </dxf>
    <dxf>
      <font>
        <b val="0"/>
        <i/>
        <color indexed="10"/>
      </font>
    </dxf>
    <dxf>
      <font>
        <b val="0"/>
        <i/>
        <color indexed="10"/>
      </font>
    </dxf>
    <dxf>
      <font>
        <b/>
        <i/>
        <color indexed="10"/>
      </font>
    </dxf>
    <dxf>
      <font>
        <b val="0"/>
        <i/>
        <color indexed="10"/>
      </font>
    </dxf>
    <dxf>
      <font>
        <b/>
        <i/>
        <color indexed="10"/>
      </font>
    </dxf>
    <dxf>
      <font>
        <b/>
        <i/>
        <color indexed="10"/>
      </font>
    </dxf>
    <dxf>
      <font>
        <b val="0"/>
        <i/>
        <color indexed="10"/>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Soil TPH Vs. Predicted TPH @Well</a:t>
            </a:r>
          </a:p>
        </c:rich>
      </c:tx>
      <c:layout>
        <c:manualLayout>
          <c:xMode val="factor"/>
          <c:yMode val="factor"/>
          <c:x val="-0.00075"/>
          <c:y val="0"/>
        </c:manualLayout>
      </c:layout>
      <c:spPr>
        <a:noFill/>
        <a:ln>
          <a:noFill/>
        </a:ln>
      </c:spPr>
    </c:title>
    <c:plotArea>
      <c:layout>
        <c:manualLayout>
          <c:xMode val="edge"/>
          <c:yMode val="edge"/>
          <c:x val="0.03975"/>
          <c:y val="0.06925"/>
          <c:w val="0.94175"/>
          <c:h val="0.877"/>
        </c:manualLayout>
      </c:layout>
      <c:scatterChart>
        <c:scatterStyle val="smoothMarker"/>
        <c:varyColors val="0"/>
        <c:ser>
          <c:idx val="20"/>
          <c:order val="0"/>
          <c:tx>
            <c:strRef>
              <c:f>Study_graph!$A$187</c:f>
              <c:strCache>
                <c:ptCount val="1"/>
                <c:pt idx="0">
                  <c:v>Predicted TPH @well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xVal>
            <c:numRef>
              <c:f>Study_graph!$B$156:$AZ$156</c:f>
              <c:numCache/>
            </c:numRef>
          </c:xVal>
          <c:yVal>
            <c:numRef>
              <c:f>Study_graph!$B$187:$AZ$187</c:f>
              <c:numCache/>
            </c:numRef>
          </c:yVal>
          <c:smooth val="1"/>
        </c:ser>
        <c:ser>
          <c:idx val="1"/>
          <c:order val="1"/>
          <c:tx>
            <c:strRef>
              <c:f>Study_graph!$A$207</c:f>
              <c:strCache>
                <c:ptCount val="1"/>
                <c:pt idx="0">
                  <c:v>Raoult's Law</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Study_graph!$B$156:$AZ$156</c:f>
              <c:numCache/>
            </c:numRef>
          </c:xVal>
          <c:yVal>
            <c:numRef>
              <c:f>Study_graph!$B$207:$AZ$207</c:f>
              <c:numCache/>
            </c:numRef>
          </c:yVal>
          <c:smooth val="1"/>
        </c:ser>
        <c:axId val="6876974"/>
        <c:axId val="61892767"/>
      </c:scatterChart>
      <c:valAx>
        <c:axId val="6876974"/>
        <c:scaling>
          <c:logBase val="10"/>
          <c:orientation val="minMax"/>
        </c:scaling>
        <c:axPos val="b"/>
        <c:title>
          <c:tx>
            <c:rich>
              <a:bodyPr vert="horz" rot="0" anchor="ctr"/>
              <a:lstStyle/>
              <a:p>
                <a:pPr algn="ctr">
                  <a:defRPr/>
                </a:pPr>
                <a:r>
                  <a:rPr lang="en-US" cap="none" sz="1000" b="1" i="0" u="none" baseline="0">
                    <a:solidFill>
                      <a:srgbClr val="000000"/>
                    </a:solidFill>
                  </a:rPr>
                  <a:t>Soil TPH, mg/kg of soil</a:t>
                </a:r>
              </a:p>
            </c:rich>
          </c:tx>
          <c:layout>
            <c:manualLayout>
              <c:xMode val="factor"/>
              <c:yMode val="factor"/>
              <c:x val="0.00475"/>
              <c:y val="0.00175"/>
            </c:manualLayout>
          </c:layout>
          <c:overlay val="0"/>
          <c:spPr>
            <a:noFill/>
            <a:ln>
              <a:noFill/>
            </a:ln>
          </c:spPr>
        </c:title>
        <c:delete val="0"/>
        <c:numFmt formatCode="General" sourceLinked="0"/>
        <c:majorTickMark val="out"/>
        <c:minorTickMark val="in"/>
        <c:tickLblPos val="nextTo"/>
        <c:spPr>
          <a:ln w="3175">
            <a:solidFill>
              <a:srgbClr val="000000"/>
            </a:solidFill>
          </a:ln>
        </c:spPr>
        <c:crossAx val="61892767"/>
        <c:crosses val="autoZero"/>
        <c:crossBetween val="midCat"/>
        <c:dispUnits/>
      </c:valAx>
      <c:valAx>
        <c:axId val="61892767"/>
        <c:scaling>
          <c:orientation val="minMax"/>
        </c:scaling>
        <c:axPos val="l"/>
        <c:title>
          <c:tx>
            <c:rich>
              <a:bodyPr vert="horz" rot="-5400000" anchor="ctr"/>
              <a:lstStyle/>
              <a:p>
                <a:pPr algn="ctr">
                  <a:defRPr/>
                </a:pPr>
                <a:r>
                  <a:rPr lang="en-US" cap="none" sz="1000" b="1" i="0" u="none" baseline="0">
                    <a:solidFill>
                      <a:srgbClr val="000000"/>
                    </a:solidFill>
                  </a:rPr>
                  <a:t>TPH predicted @Well, ug/L
</a:t>
                </a:r>
              </a:p>
            </c:rich>
          </c:tx>
          <c:layout>
            <c:manualLayout>
              <c:xMode val="factor"/>
              <c:yMode val="factor"/>
              <c:x val="-0.00125"/>
              <c:y val="0.00075"/>
            </c:manualLayout>
          </c:layout>
          <c:overlay val="0"/>
          <c:spPr>
            <a:noFill/>
            <a:ln>
              <a:noFill/>
            </a:ln>
          </c:spPr>
        </c:title>
        <c:delete val="0"/>
        <c:numFmt formatCode="General" sourceLinked="0"/>
        <c:majorTickMark val="out"/>
        <c:minorTickMark val="in"/>
        <c:tickLblPos val="nextTo"/>
        <c:spPr>
          <a:ln w="3175">
            <a:solidFill>
              <a:srgbClr val="000000"/>
            </a:solidFill>
          </a:ln>
        </c:spPr>
        <c:crossAx val="6876974"/>
        <c:crosses val="autoZero"/>
        <c:crossBetween val="midCat"/>
        <c:dispUnits/>
      </c:valAx>
      <c:spPr>
        <a:noFill/>
        <a:ln>
          <a:noFill/>
        </a:ln>
      </c:spPr>
    </c:plotArea>
    <c:legend>
      <c:legendPos val="r"/>
      <c:layout>
        <c:manualLayout>
          <c:xMode val="edge"/>
          <c:yMode val="edge"/>
          <c:x val="0.722"/>
          <c:y val="0.4685"/>
          <c:w val="0.278"/>
          <c:h val="0.1397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Predicted Concentration @Well</a:t>
            </a:r>
          </a:p>
        </c:rich>
      </c:tx>
      <c:layout>
        <c:manualLayout>
          <c:xMode val="factor"/>
          <c:yMode val="factor"/>
          <c:x val="-0.0995"/>
          <c:y val="0"/>
        </c:manualLayout>
      </c:layout>
      <c:spPr>
        <a:noFill/>
        <a:ln>
          <a:noFill/>
        </a:ln>
      </c:spPr>
    </c:title>
    <c:plotArea>
      <c:layout>
        <c:manualLayout>
          <c:xMode val="edge"/>
          <c:yMode val="edge"/>
          <c:x val="0.07075"/>
          <c:y val="0.128"/>
          <c:w val="0.8255"/>
          <c:h val="0.799"/>
        </c:manualLayout>
      </c:layout>
      <c:scatterChart>
        <c:scatterStyle val="smoothMarker"/>
        <c:varyColors val="0"/>
        <c:ser>
          <c:idx val="0"/>
          <c:order val="0"/>
          <c:tx>
            <c:strRef>
              <c:f>Study_graph!$A$157</c:f>
              <c:strCache>
                <c:ptCount val="1"/>
                <c:pt idx="0">
                  <c:v>AL_EC &gt;5-6</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Study_graph!$B$156:$AZ$156</c:f>
              <c:numCache/>
            </c:numRef>
          </c:xVal>
          <c:yVal>
            <c:numRef>
              <c:f>Study_graph!$B$157:$AZ$157</c:f>
              <c:numCache/>
            </c:numRef>
          </c:yVal>
          <c:smooth val="1"/>
        </c:ser>
        <c:ser>
          <c:idx val="1"/>
          <c:order val="1"/>
          <c:tx>
            <c:strRef>
              <c:f>Study_graph!$A$158</c:f>
              <c:strCache>
                <c:ptCount val="1"/>
                <c:pt idx="0">
                  <c:v>AL_EC &gt;6-8</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Study_graph!$B$156:$AZ$156</c:f>
              <c:numCache/>
            </c:numRef>
          </c:xVal>
          <c:yVal>
            <c:numRef>
              <c:f>Study_graph!$B$158:$AZ$158</c:f>
              <c:numCache/>
            </c:numRef>
          </c:yVal>
          <c:smooth val="1"/>
        </c:ser>
        <c:ser>
          <c:idx val="2"/>
          <c:order val="2"/>
          <c:tx>
            <c:strRef>
              <c:f>Study_graph!$A$159</c:f>
              <c:strCache>
                <c:ptCount val="1"/>
                <c:pt idx="0">
                  <c:v>AL_EC &gt;8-10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Study_graph!$B$156:$AZ$156</c:f>
              <c:numCache/>
            </c:numRef>
          </c:xVal>
          <c:yVal>
            <c:numRef>
              <c:f>Study_graph!$B$159:$AZ$159</c:f>
              <c:numCache/>
            </c:numRef>
          </c:yVal>
          <c:smooth val="1"/>
        </c:ser>
        <c:ser>
          <c:idx val="3"/>
          <c:order val="3"/>
          <c:tx>
            <c:strRef>
              <c:f>Study_graph!$A$160</c:f>
              <c:strCache>
                <c:ptCount val="1"/>
                <c:pt idx="0">
                  <c:v>AL_EC &gt;10-12</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Study_graph!$B$156:$AZ$156</c:f>
              <c:numCache/>
            </c:numRef>
          </c:xVal>
          <c:yVal>
            <c:numRef>
              <c:f>Study_graph!$B$160:$AZ$160</c:f>
              <c:numCache/>
            </c:numRef>
          </c:yVal>
          <c:smooth val="1"/>
        </c:ser>
        <c:ser>
          <c:idx val="4"/>
          <c:order val="4"/>
          <c:tx>
            <c:strRef>
              <c:f>Study_graph!$A$161</c:f>
              <c:strCache>
                <c:ptCount val="1"/>
                <c:pt idx="0">
                  <c:v>AL_EC &gt;12-16</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Study_graph!$B$156:$AZ$156</c:f>
              <c:numCache/>
            </c:numRef>
          </c:xVal>
          <c:yVal>
            <c:numRef>
              <c:f>Study_graph!$B$161:$AZ$161</c:f>
              <c:numCache/>
            </c:numRef>
          </c:yVal>
          <c:smooth val="1"/>
        </c:ser>
        <c:ser>
          <c:idx val="8"/>
          <c:order val="5"/>
          <c:tx>
            <c:strRef>
              <c:f>Study_graph!$A$162</c:f>
              <c:strCache>
                <c:ptCount val="1"/>
                <c:pt idx="0">
                  <c:v>AL_EC &gt;16-21</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xVal>
            <c:numRef>
              <c:f>Study_graph!$B$156:$AZ$156</c:f>
              <c:numCache/>
            </c:numRef>
          </c:xVal>
          <c:yVal>
            <c:numRef>
              <c:f>Study_graph!$B$162:$AZ$162</c:f>
              <c:numCache/>
            </c:numRef>
          </c:yVal>
          <c:smooth val="1"/>
        </c:ser>
        <c:ser>
          <c:idx val="9"/>
          <c:order val="6"/>
          <c:tx>
            <c:strRef>
              <c:f>Study_graph!$A$163</c:f>
              <c:strCache>
                <c:ptCount val="1"/>
                <c:pt idx="0">
                  <c:v>AL_EC &gt;21-34</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xVal>
            <c:numRef>
              <c:f>Study_graph!$B$156:$AZ$156</c:f>
              <c:numCache/>
            </c:numRef>
          </c:xVal>
          <c:yVal>
            <c:numRef>
              <c:f>Study_graph!$B$163:$AZ$163</c:f>
              <c:numCache/>
            </c:numRef>
          </c:yVal>
          <c:smooth val="1"/>
        </c:ser>
        <c:ser>
          <c:idx val="10"/>
          <c:order val="7"/>
          <c:tx>
            <c:strRef>
              <c:f>Study_graph!$A$164</c:f>
              <c:strCache>
                <c:ptCount val="1"/>
                <c:pt idx="0">
                  <c:v>AR_EC &gt;8-10</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xVal>
            <c:numRef>
              <c:f>Study_graph!$B$156:$AZ$156</c:f>
              <c:numCache/>
            </c:numRef>
          </c:xVal>
          <c:yVal>
            <c:numRef>
              <c:f>Study_graph!$B$164:$AZ$164</c:f>
              <c:numCache/>
            </c:numRef>
          </c:yVal>
          <c:smooth val="1"/>
        </c:ser>
        <c:ser>
          <c:idx val="11"/>
          <c:order val="8"/>
          <c:tx>
            <c:strRef>
              <c:f>Study_graph!$A$165</c:f>
              <c:strCache>
                <c:ptCount val="1"/>
                <c:pt idx="0">
                  <c:v>AR_EC &gt;10-12</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xVal>
            <c:numRef>
              <c:f>Study_graph!$B$156:$AZ$156</c:f>
              <c:numCache/>
            </c:numRef>
          </c:xVal>
          <c:yVal>
            <c:numRef>
              <c:f>Study_graph!$B$165:$AZ$165</c:f>
              <c:numCache/>
            </c:numRef>
          </c:yVal>
          <c:smooth val="1"/>
        </c:ser>
        <c:ser>
          <c:idx val="12"/>
          <c:order val="9"/>
          <c:tx>
            <c:strRef>
              <c:f>Study_graph!$A$166</c:f>
              <c:strCache>
                <c:ptCount val="1"/>
                <c:pt idx="0">
                  <c:v>AR_EC &gt;12-16</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xVal>
            <c:numRef>
              <c:f>Study_graph!$B$156:$AZ$156</c:f>
              <c:numCache/>
            </c:numRef>
          </c:xVal>
          <c:yVal>
            <c:numRef>
              <c:f>Study_graph!$B$166:$AZ$166</c:f>
              <c:numCache/>
            </c:numRef>
          </c:yVal>
          <c:smooth val="1"/>
        </c:ser>
        <c:ser>
          <c:idx val="13"/>
          <c:order val="10"/>
          <c:tx>
            <c:strRef>
              <c:f>Study_graph!$A$167</c:f>
              <c:strCache>
                <c:ptCount val="1"/>
                <c:pt idx="0">
                  <c:v>AR_EC &gt;16-21</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xVal>
            <c:numRef>
              <c:f>Study_graph!$B$156:$AZ$156</c:f>
              <c:numCache/>
            </c:numRef>
          </c:xVal>
          <c:yVal>
            <c:numRef>
              <c:f>Study_graph!$B$167:$AZ$167</c:f>
              <c:numCache/>
            </c:numRef>
          </c:yVal>
          <c:smooth val="1"/>
        </c:ser>
        <c:ser>
          <c:idx val="14"/>
          <c:order val="11"/>
          <c:tx>
            <c:strRef>
              <c:f>Study_graph!$A$168</c:f>
              <c:strCache>
                <c:ptCount val="1"/>
                <c:pt idx="0">
                  <c:v>AR_EC &gt;21-34</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xVal>
            <c:numRef>
              <c:f>Study_graph!$B$156:$AZ$156</c:f>
              <c:numCache/>
            </c:numRef>
          </c:xVal>
          <c:yVal>
            <c:numRef>
              <c:f>Study_graph!$B$168:$AZ$168</c:f>
              <c:numCache/>
            </c:numRef>
          </c:yVal>
          <c:smooth val="1"/>
        </c:ser>
        <c:ser>
          <c:idx val="15"/>
          <c:order val="12"/>
          <c:tx>
            <c:strRef>
              <c:f>Study_graph!$A$169</c:f>
              <c:strCache>
                <c:ptCount val="1"/>
                <c:pt idx="0">
                  <c:v>Benzene</c:v>
                </c:pt>
              </c:strCache>
            </c:strRef>
          </c:tx>
          <c:spPr>
            <a:ln w="12700">
              <a:solidFill>
                <a:srgbClr val="E3E3E3"/>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E3E3E3"/>
                </a:solidFill>
              </a:ln>
            </c:spPr>
          </c:marker>
          <c:xVal>
            <c:numRef>
              <c:f>Study_graph!$B$156:$AZ$156</c:f>
              <c:numCache/>
            </c:numRef>
          </c:xVal>
          <c:yVal>
            <c:numRef>
              <c:f>Study_graph!$B$169:$AZ$169</c:f>
              <c:numCache/>
            </c:numRef>
          </c:yVal>
          <c:smooth val="1"/>
        </c:ser>
        <c:ser>
          <c:idx val="16"/>
          <c:order val="13"/>
          <c:tx>
            <c:strRef>
              <c:f>Study_graph!$A$170</c:f>
              <c:strCache>
                <c:ptCount val="1"/>
                <c:pt idx="0">
                  <c:v>Toluene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xVal>
            <c:numRef>
              <c:f>Study_graph!$B$156:$AZ$156</c:f>
              <c:numCache/>
            </c:numRef>
          </c:xVal>
          <c:yVal>
            <c:numRef>
              <c:f>Study_graph!$B$170:$AZ$170</c:f>
              <c:numCache/>
            </c:numRef>
          </c:yVal>
          <c:smooth val="1"/>
        </c:ser>
        <c:ser>
          <c:idx val="17"/>
          <c:order val="14"/>
          <c:tx>
            <c:strRef>
              <c:f>Study_graph!$A$171</c:f>
              <c:strCache>
                <c:ptCount val="1"/>
                <c:pt idx="0">
                  <c:v>Ethylbenzene</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xVal>
            <c:numRef>
              <c:f>Study_graph!$B$156:$AZ$156</c:f>
              <c:numCache/>
            </c:numRef>
          </c:xVal>
          <c:yVal>
            <c:numRef>
              <c:f>Study_graph!$B$171:$AZ$171</c:f>
              <c:numCache/>
            </c:numRef>
          </c:yVal>
          <c:smooth val="1"/>
        </c:ser>
        <c:ser>
          <c:idx val="18"/>
          <c:order val="15"/>
          <c:tx>
            <c:strRef>
              <c:f>Study_graph!$A$172</c:f>
              <c:strCache>
                <c:ptCount val="1"/>
                <c:pt idx="0">
                  <c:v>Total Xylenes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xVal>
            <c:numRef>
              <c:f>Study_graph!$B$156:$AZ$156</c:f>
              <c:numCache/>
            </c:numRef>
          </c:xVal>
          <c:yVal>
            <c:numRef>
              <c:f>Study_graph!$B$172:$AZ$172</c:f>
              <c:numCache/>
            </c:numRef>
          </c:yVal>
          <c:smooth val="1"/>
        </c:ser>
        <c:ser>
          <c:idx val="20"/>
          <c:order val="16"/>
          <c:tx>
            <c:strRef>
              <c:f>Study_graph!$A$173</c:f>
              <c:strCache>
                <c:ptCount val="1"/>
                <c:pt idx="0">
                  <c:v>Naphthalene</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xVal>
            <c:numRef>
              <c:f>Study_graph!$B$156:$AZ$156</c:f>
              <c:numCache/>
            </c:numRef>
          </c:xVal>
          <c:yVal>
            <c:numRef>
              <c:f>Study_graph!$B$173:$AZ$173</c:f>
              <c:numCache/>
            </c:numRef>
          </c:yVal>
          <c:smooth val="1"/>
        </c:ser>
        <c:ser>
          <c:idx val="6"/>
          <c:order val="17"/>
          <c:tx>
            <c:strRef>
              <c:f>Study_graph!$A$174</c:f>
              <c:strCache>
                <c:ptCount val="1"/>
                <c:pt idx="0">
                  <c:v>1-Methyl Naphthalene</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Study_graph!$B$156:$AZ$156</c:f>
              <c:numCache/>
            </c:numRef>
          </c:xVal>
          <c:yVal>
            <c:numRef>
              <c:f>Study_graph!$B$174:$AZ$174</c:f>
              <c:numCache/>
            </c:numRef>
          </c:yVal>
          <c:smooth val="1"/>
        </c:ser>
        <c:ser>
          <c:idx val="7"/>
          <c:order val="18"/>
          <c:tx>
            <c:strRef>
              <c:f>Study_graph!$A$175</c:f>
              <c:strCache>
                <c:ptCount val="1"/>
                <c:pt idx="0">
                  <c:v>2-Methyl Naphthalene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xVal>
            <c:numRef>
              <c:f>Study_graph!$B$156:$AZ$156</c:f>
              <c:numCache/>
            </c:numRef>
          </c:xVal>
          <c:yVal>
            <c:numRef>
              <c:f>Study_graph!$B$175:$AZ$175</c:f>
              <c:numCache/>
            </c:numRef>
          </c:yVal>
          <c:smooth val="1"/>
        </c:ser>
        <c:ser>
          <c:idx val="19"/>
          <c:order val="19"/>
          <c:tx>
            <c:strRef>
              <c:f>Study_graph!$A$176</c:f>
              <c:strCache>
                <c:ptCount val="1"/>
                <c:pt idx="0">
                  <c:v>n-Hexane</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xVal>
            <c:numRef>
              <c:f>Study_graph!$B$156:$AZ$156</c:f>
              <c:numCache/>
            </c:numRef>
          </c:xVal>
          <c:yVal>
            <c:numRef>
              <c:f>Study_graph!$B$176:$AZ$176</c:f>
              <c:numCache/>
            </c:numRef>
          </c:yVal>
          <c:smooth val="1"/>
        </c:ser>
        <c:ser>
          <c:idx val="21"/>
          <c:order val="20"/>
          <c:tx>
            <c:strRef>
              <c:f>Study_graph!$A$177</c:f>
              <c:strCache>
                <c:ptCount val="1"/>
                <c:pt idx="0">
                  <c:v>MTBE</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xVal>
            <c:numRef>
              <c:f>Study_graph!$B$156:$AZ$156</c:f>
              <c:numCache/>
            </c:numRef>
          </c:xVal>
          <c:yVal>
            <c:numRef>
              <c:f>Study_graph!$B$177:$AZ$177</c:f>
              <c:numCache/>
            </c:numRef>
          </c:yVal>
          <c:smooth val="1"/>
        </c:ser>
        <c:ser>
          <c:idx val="22"/>
          <c:order val="21"/>
          <c:tx>
            <c:strRef>
              <c:f>Study_graph!$A$178</c:f>
              <c:strCache>
                <c:ptCount val="1"/>
                <c:pt idx="0">
                  <c:v>Ethylene Dibromide (EDB)</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xVal>
            <c:numRef>
              <c:f>Study_graph!$B$156:$AZ$156</c:f>
              <c:numCache/>
            </c:numRef>
          </c:xVal>
          <c:yVal>
            <c:numRef>
              <c:f>Study_graph!$B$178:$AZ$178</c:f>
              <c:numCache/>
            </c:numRef>
          </c:yVal>
          <c:smooth val="1"/>
        </c:ser>
        <c:ser>
          <c:idx val="23"/>
          <c:order val="22"/>
          <c:tx>
            <c:strRef>
              <c:f>Study_graph!$A$179</c:f>
              <c:strCache>
                <c:ptCount val="1"/>
                <c:pt idx="0">
                  <c:v>1,2 Dichloroethane (EDC)</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xVal>
            <c:numRef>
              <c:f>Study_graph!$B$156:$AZ$156</c:f>
              <c:numCache/>
            </c:numRef>
          </c:xVal>
          <c:yVal>
            <c:numRef>
              <c:f>Study_graph!$B$179:$AZ$179</c:f>
              <c:numCache/>
            </c:numRef>
          </c:yVal>
          <c:smooth val="1"/>
        </c:ser>
        <c:ser>
          <c:idx val="24"/>
          <c:order val="23"/>
          <c:tx>
            <c:strRef>
              <c:f>Study_graph!$A$180</c:f>
              <c:strCache>
                <c:ptCount val="1"/>
                <c:pt idx="0">
                  <c:v>Benzo(a)anthracene</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xVal>
            <c:numRef>
              <c:f>Study_graph!$B$156:$AZ$156</c:f>
              <c:numCache/>
            </c:numRef>
          </c:xVal>
          <c:yVal>
            <c:numRef>
              <c:f>Study_graph!$B$180:$AZ$180</c:f>
              <c:numCache/>
            </c:numRef>
          </c:yVal>
          <c:smooth val="1"/>
        </c:ser>
        <c:ser>
          <c:idx val="25"/>
          <c:order val="24"/>
          <c:tx>
            <c:strRef>
              <c:f>Study_graph!$A$181</c:f>
              <c:strCache>
                <c:ptCount val="1"/>
                <c:pt idx="0">
                  <c:v>Benzo(b)fluoranthene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xVal>
            <c:numRef>
              <c:f>Study_graph!$B$156:$AZ$156</c:f>
              <c:numCache/>
            </c:numRef>
          </c:xVal>
          <c:yVal>
            <c:numRef>
              <c:f>Study_graph!$B$181:$AZ$181</c:f>
              <c:numCache/>
            </c:numRef>
          </c:yVal>
          <c:smooth val="1"/>
        </c:ser>
        <c:ser>
          <c:idx val="26"/>
          <c:order val="25"/>
          <c:tx>
            <c:strRef>
              <c:f>Study_graph!$A$182</c:f>
              <c:strCache>
                <c:ptCount val="1"/>
                <c:pt idx="0">
                  <c:v>Benzo(k)fluoranthene</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xVal>
            <c:numRef>
              <c:f>Study_graph!$B$156:$AZ$156</c:f>
              <c:numCache/>
            </c:numRef>
          </c:xVal>
          <c:yVal>
            <c:numRef>
              <c:f>Study_graph!$B$182:$AZ$182</c:f>
              <c:numCache/>
            </c:numRef>
          </c:yVal>
          <c:smooth val="1"/>
        </c:ser>
        <c:ser>
          <c:idx val="5"/>
          <c:order val="26"/>
          <c:tx>
            <c:strRef>
              <c:f>Study_graph!$A$183</c:f>
              <c:strCache>
                <c:ptCount val="1"/>
                <c:pt idx="0">
                  <c:v>Benzo(a)pyrene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Study_graph!$B$156:$AZ$156</c:f>
              <c:numCache/>
            </c:numRef>
          </c:xVal>
          <c:yVal>
            <c:numRef>
              <c:f>Study_graph!$B$183:$AZ$183</c:f>
              <c:numCache/>
            </c:numRef>
          </c:yVal>
          <c:smooth val="1"/>
        </c:ser>
        <c:ser>
          <c:idx val="27"/>
          <c:order val="27"/>
          <c:tx>
            <c:strRef>
              <c:f>Study_graph!$A$184</c:f>
              <c:strCache>
                <c:ptCount val="1"/>
                <c:pt idx="0">
                  <c:v>Chrysene</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333300"/>
                </a:solidFill>
              </a:ln>
            </c:spPr>
          </c:marker>
          <c:xVal>
            <c:numRef>
              <c:f>Study_graph!$B$156:$AZ$156</c:f>
              <c:numCache/>
            </c:numRef>
          </c:xVal>
          <c:yVal>
            <c:numRef>
              <c:f>Study_graph!$B$184:$AZ$184</c:f>
              <c:numCache/>
            </c:numRef>
          </c:yVal>
          <c:smooth val="1"/>
        </c:ser>
        <c:ser>
          <c:idx val="28"/>
          <c:order val="28"/>
          <c:tx>
            <c:strRef>
              <c:f>Study_graph!$A$185</c:f>
              <c:strCache>
                <c:ptCount val="1"/>
                <c:pt idx="0">
                  <c:v>Dibenz(a,h)anthracene</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xVal>
            <c:numRef>
              <c:f>Study_graph!$B$156:$AZ$156</c:f>
              <c:numCache/>
            </c:numRef>
          </c:xVal>
          <c:yVal>
            <c:numRef>
              <c:f>Study_graph!$B$185:$AZ$185</c:f>
              <c:numCache/>
            </c:numRef>
          </c:yVal>
          <c:smooth val="1"/>
        </c:ser>
        <c:ser>
          <c:idx val="29"/>
          <c:order val="29"/>
          <c:tx>
            <c:strRef>
              <c:f>Study_graph!$A$186</c:f>
              <c:strCache>
                <c:ptCount val="1"/>
                <c:pt idx="0">
                  <c:v>Indeno(1,2,3-cd)pyrene</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xVal>
            <c:numRef>
              <c:f>Study_graph!$B$156:$AZ$156</c:f>
              <c:numCache/>
            </c:numRef>
          </c:xVal>
          <c:yVal>
            <c:numRef>
              <c:f>Study_graph!$B$186:$AZ$186</c:f>
              <c:numCache/>
            </c:numRef>
          </c:yVal>
          <c:smooth val="1"/>
        </c:ser>
        <c:ser>
          <c:idx val="30"/>
          <c:order val="30"/>
          <c:tx>
            <c:strRef>
              <c:f>Study_graph!$A$187</c:f>
              <c:strCache>
                <c:ptCount val="1"/>
                <c:pt idx="0">
                  <c:v>Predicted TPH @well</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3399"/>
                </a:solidFill>
              </a:ln>
            </c:spPr>
          </c:marker>
          <c:xVal>
            <c:numRef>
              <c:f>Study_graph!$B$156:$AZ$156</c:f>
              <c:numCache/>
            </c:numRef>
          </c:xVal>
          <c:yVal>
            <c:numRef>
              <c:f>Study_graph!$B$187:$AZ$187</c:f>
              <c:numCache/>
            </c:numRef>
          </c:yVal>
          <c:smooth val="1"/>
        </c:ser>
        <c:axId val="20163992"/>
        <c:axId val="47258201"/>
      </c:scatterChart>
      <c:valAx>
        <c:axId val="20163992"/>
        <c:scaling>
          <c:logBase val="10"/>
          <c:orientation val="minMax"/>
        </c:scaling>
        <c:axPos val="b"/>
        <c:title>
          <c:tx>
            <c:rich>
              <a:bodyPr vert="horz" rot="0" anchor="ctr"/>
              <a:lstStyle/>
              <a:p>
                <a:pPr algn="ctr">
                  <a:defRPr/>
                </a:pPr>
                <a:r>
                  <a:rPr lang="en-US" cap="none" sz="1500" b="1" i="0" u="none" baseline="0">
                    <a:solidFill>
                      <a:srgbClr val="000000"/>
                    </a:solidFill>
                  </a:rPr>
                  <a:t>Soil TPH, mg/kg of soil</a:t>
                </a:r>
              </a:p>
            </c:rich>
          </c:tx>
          <c:layout>
            <c:manualLayout>
              <c:xMode val="factor"/>
              <c:yMode val="factor"/>
              <c:x val="0"/>
              <c:y val="-0.00125"/>
            </c:manualLayout>
          </c:layout>
          <c:overlay val="0"/>
          <c:spPr>
            <a:noFill/>
            <a:ln>
              <a:noFill/>
            </a:ln>
          </c:spPr>
        </c:title>
        <c:delete val="0"/>
        <c:numFmt formatCode="General" sourceLinked="0"/>
        <c:majorTickMark val="out"/>
        <c:minorTickMark val="in"/>
        <c:tickLblPos val="nextTo"/>
        <c:spPr>
          <a:ln w="3175">
            <a:solidFill>
              <a:srgbClr val="000000"/>
            </a:solidFill>
          </a:ln>
        </c:spPr>
        <c:txPr>
          <a:bodyPr vert="horz" rot="0"/>
          <a:lstStyle/>
          <a:p>
            <a:pPr>
              <a:defRPr lang="en-US" cap="none" sz="1000" b="0" i="0" u="none" baseline="0">
                <a:solidFill>
                  <a:srgbClr val="000000"/>
                </a:solidFill>
              </a:defRPr>
            </a:pPr>
          </a:p>
        </c:txPr>
        <c:crossAx val="47258201"/>
        <c:crosses val="autoZero"/>
        <c:crossBetween val="midCat"/>
        <c:dispUnits/>
      </c:valAx>
      <c:valAx>
        <c:axId val="47258201"/>
        <c:scaling>
          <c:logBase val="10"/>
          <c:orientation val="minMax"/>
        </c:scaling>
        <c:axPos val="l"/>
        <c:title>
          <c:tx>
            <c:rich>
              <a:bodyPr vert="horz" rot="-5400000" anchor="ctr"/>
              <a:lstStyle/>
              <a:p>
                <a:pPr algn="ctr">
                  <a:defRPr/>
                </a:pPr>
                <a:r>
                  <a:rPr lang="en-US" cap="none" sz="1500" b="1" i="0" u="none" baseline="0">
                    <a:solidFill>
                      <a:srgbClr val="000000"/>
                    </a:solidFill>
                  </a:rPr>
                  <a:t>Dissolved Concentration 
@ Well, ug/l</a:t>
                </a:r>
              </a:p>
            </c:rich>
          </c:tx>
          <c:layout>
            <c:manualLayout>
              <c:xMode val="factor"/>
              <c:yMode val="factor"/>
              <c:x val="-0.0025"/>
              <c:y val="-0.00625"/>
            </c:manualLayout>
          </c:layout>
          <c:overlay val="0"/>
          <c:spPr>
            <a:noFill/>
            <a:ln>
              <a:noFill/>
            </a:ln>
          </c:spPr>
        </c:title>
        <c:majorGridlines>
          <c:spPr>
            <a:ln w="3175">
              <a:solidFill>
                <a:srgbClr val="C0C0C0"/>
              </a:solidFill>
              <a:prstDash val="sysDot"/>
            </a:ln>
          </c:spPr>
        </c:majorGridlines>
        <c:delete val="0"/>
        <c:numFmt formatCode="0.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0163992"/>
        <c:crosses val="autoZero"/>
        <c:crossBetween val="midCat"/>
        <c:dispUnits/>
      </c:valAx>
      <c:spPr>
        <a:noFill/>
        <a:ln>
          <a:noFill/>
        </a:ln>
      </c:spPr>
    </c:plotArea>
    <c:legend>
      <c:legendPos val="r"/>
      <c:layout>
        <c:manualLayout>
          <c:xMode val="edge"/>
          <c:yMode val="edge"/>
          <c:x val="0.87225"/>
          <c:y val="0"/>
          <c:w val="0.12775"/>
          <c:h val="0.97825"/>
        </c:manualLayout>
      </c:layout>
      <c:overlay val="0"/>
      <c:spPr>
        <a:solidFill>
          <a:srgbClr val="FFFFFF"/>
        </a:solidFill>
        <a:ln w="3175">
          <a:solidFill>
            <a:srgbClr val="000000"/>
          </a:solid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TPH Mass Distribution in Soil Matrix</a:t>
            </a:r>
          </a:p>
        </c:rich>
      </c:tx>
      <c:layout>
        <c:manualLayout>
          <c:xMode val="factor"/>
          <c:yMode val="factor"/>
          <c:x val="-0.0015"/>
          <c:y val="0"/>
        </c:manualLayout>
      </c:layout>
      <c:spPr>
        <a:noFill/>
        <a:ln>
          <a:noFill/>
        </a:ln>
      </c:spPr>
    </c:title>
    <c:plotArea>
      <c:layout>
        <c:manualLayout>
          <c:xMode val="edge"/>
          <c:yMode val="edge"/>
          <c:x val="0.01525"/>
          <c:y val="0.164"/>
          <c:w val="0.98225"/>
          <c:h val="0.7425"/>
        </c:manualLayout>
      </c:layout>
      <c:scatterChart>
        <c:scatterStyle val="smoothMarker"/>
        <c:varyColors val="0"/>
        <c:ser>
          <c:idx val="0"/>
          <c:order val="0"/>
          <c:tx>
            <c:strRef>
              <c:f>Study_graph!$A$199</c:f>
              <c:strCache>
                <c:ptCount val="1"/>
                <c:pt idx="0">
                  <c:v>In Pore Water Phase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Study_graph!$B$156:$AZ$156</c:f>
              <c:numCache/>
            </c:numRef>
          </c:xVal>
          <c:yVal>
            <c:numRef>
              <c:f>Study_graph!$B$199:$AZ$199</c:f>
              <c:numCache/>
            </c:numRef>
          </c:yVal>
          <c:smooth val="1"/>
        </c:ser>
        <c:ser>
          <c:idx val="1"/>
          <c:order val="1"/>
          <c:tx>
            <c:strRef>
              <c:f>Study_graph!$A$200</c:f>
              <c:strCache>
                <c:ptCount val="1"/>
                <c:pt idx="0">
                  <c:v>In Pore Air Phase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Study_graph!$B$156:$AZ$156</c:f>
              <c:numCache/>
            </c:numRef>
          </c:xVal>
          <c:yVal>
            <c:numRef>
              <c:f>Study_graph!$B$200:$AZ$200</c:f>
              <c:numCache/>
            </c:numRef>
          </c:yVal>
          <c:smooth val="1"/>
        </c:ser>
        <c:ser>
          <c:idx val="2"/>
          <c:order val="2"/>
          <c:tx>
            <c:strRef>
              <c:f>Study_graph!$A$201</c:f>
              <c:strCache>
                <c:ptCount val="1"/>
                <c:pt idx="0">
                  <c:v>In NAPL Phase</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00"/>
              </a:solidFill>
              <a:ln>
                <a:solidFill>
                  <a:srgbClr val="000000"/>
                </a:solidFill>
              </a:ln>
            </c:spPr>
          </c:marker>
          <c:xVal>
            <c:numRef>
              <c:f>Study_graph!$B$156:$AZ$156</c:f>
              <c:numCache/>
            </c:numRef>
          </c:xVal>
          <c:yVal>
            <c:numRef>
              <c:f>Study_graph!$B$201:$AZ$201</c:f>
              <c:numCache/>
            </c:numRef>
          </c:yVal>
          <c:smooth val="1"/>
        </c:ser>
        <c:ser>
          <c:idx val="3"/>
          <c:order val="3"/>
          <c:tx>
            <c:strRef>
              <c:f>Study_graph!$A$202</c:f>
              <c:strCache>
                <c:ptCount val="1"/>
                <c:pt idx="0">
                  <c:v>In Dry Solid Phase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Study_graph!$B$156:$AZ$156</c:f>
              <c:numCache/>
            </c:numRef>
          </c:xVal>
          <c:yVal>
            <c:numRef>
              <c:f>Study_graph!$B$202:$AZ$202</c:f>
              <c:numCache/>
            </c:numRef>
          </c:yVal>
          <c:smooth val="1"/>
        </c:ser>
        <c:axId val="22670626"/>
        <c:axId val="2709043"/>
      </c:scatterChart>
      <c:valAx>
        <c:axId val="22670626"/>
        <c:scaling>
          <c:logBase val="10"/>
          <c:orientation val="minMax"/>
        </c:scaling>
        <c:axPos val="b"/>
        <c:title>
          <c:tx>
            <c:rich>
              <a:bodyPr vert="horz" rot="0" anchor="ctr"/>
              <a:lstStyle/>
              <a:p>
                <a:pPr algn="ctr">
                  <a:defRPr/>
                </a:pPr>
                <a:r>
                  <a:rPr lang="en-US" cap="none" sz="1200" b="1" i="0" u="none" baseline="0">
                    <a:solidFill>
                      <a:srgbClr val="000000"/>
                    </a:solidFill>
                  </a:rPr>
                  <a:t>Soil TPH, mg/kg of soil</a:t>
                </a:r>
              </a:p>
            </c:rich>
          </c:tx>
          <c:layout>
            <c:manualLayout>
              <c:xMode val="factor"/>
              <c:yMode val="factor"/>
              <c:x val="0"/>
              <c:y val="-0.0005"/>
            </c:manualLayout>
          </c:layout>
          <c:overlay val="0"/>
          <c:spPr>
            <a:noFill/>
            <a:ln>
              <a:noFill/>
            </a:ln>
          </c:spPr>
        </c:title>
        <c:delete val="0"/>
        <c:numFmt formatCode="General" sourceLinked="0"/>
        <c:majorTickMark val="out"/>
        <c:minorTickMark val="in"/>
        <c:tickLblPos val="nextTo"/>
        <c:spPr>
          <a:ln w="3175">
            <a:solidFill>
              <a:srgbClr val="000000"/>
            </a:solidFill>
          </a:ln>
        </c:spPr>
        <c:txPr>
          <a:bodyPr vert="horz" rot="0"/>
          <a:lstStyle/>
          <a:p>
            <a:pPr>
              <a:defRPr lang="en-US" cap="none" sz="1050" b="0" i="0" u="none" baseline="0">
                <a:solidFill>
                  <a:srgbClr val="000000"/>
                </a:solidFill>
              </a:defRPr>
            </a:pPr>
          </a:p>
        </c:txPr>
        <c:crossAx val="2709043"/>
        <c:crossesAt val="1E-05"/>
        <c:crossBetween val="midCat"/>
        <c:dispUnits/>
      </c:valAx>
      <c:valAx>
        <c:axId val="2709043"/>
        <c:scaling>
          <c:orientation val="minMax"/>
          <c:max val="1"/>
          <c:min val="1E-05"/>
        </c:scaling>
        <c:axPos val="l"/>
        <c:title>
          <c:tx>
            <c:rich>
              <a:bodyPr vert="horz" rot="-5400000" anchor="ctr"/>
              <a:lstStyle/>
              <a:p>
                <a:pPr algn="ctr">
                  <a:defRPr/>
                </a:pPr>
                <a:r>
                  <a:rPr lang="en-US" cap="none" sz="1200" b="1" i="0" u="none" baseline="0">
                    <a:solidFill>
                      <a:srgbClr val="000000"/>
                    </a:solidFill>
                  </a:rPr>
                  <a:t>TPH Mass Distribution, %</a:t>
                </a:r>
              </a:p>
            </c:rich>
          </c:tx>
          <c:layout>
            <c:manualLayout>
              <c:xMode val="factor"/>
              <c:yMode val="factor"/>
              <c:x val="0.00175"/>
              <c:y val="-0.00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22670626"/>
        <c:crosses val="autoZero"/>
        <c:crossBetween val="midCat"/>
        <c:dispUnits/>
        <c:majorUnit val="0.2"/>
        <c:minorUnit val="0.04"/>
      </c:valAx>
      <c:spPr>
        <a:noFill/>
        <a:ln>
          <a:noFill/>
        </a:ln>
      </c:spPr>
    </c:plotArea>
    <c:legend>
      <c:legendPos val="r"/>
      <c:layout>
        <c:manualLayout>
          <c:xMode val="edge"/>
          <c:yMode val="edge"/>
          <c:x val="0.75775"/>
          <c:y val="0.089"/>
          <c:w val="0.20825"/>
          <c:h val="0.31025"/>
        </c:manualLayout>
      </c:layout>
      <c:overlay val="0"/>
      <c:spPr>
        <a:solidFill>
          <a:srgbClr val="FFFFFF"/>
        </a:solidFill>
        <a:ln w="3175">
          <a:solidFill>
            <a:srgbClr val="000000"/>
          </a:solidFill>
        </a:ln>
      </c:spPr>
      <c:txPr>
        <a:bodyPr vert="horz" rot="0"/>
        <a:lstStyle/>
        <a:p>
          <a:pPr>
            <a:defRPr lang="en-US" cap="none" sz="135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Soil TPH Vs. Predicted HI @ Well</a:t>
            </a:r>
          </a:p>
        </c:rich>
      </c:tx>
      <c:layout>
        <c:manualLayout>
          <c:xMode val="factor"/>
          <c:yMode val="factor"/>
          <c:x val="0.00075"/>
          <c:y val="0"/>
        </c:manualLayout>
      </c:layout>
      <c:spPr>
        <a:noFill/>
        <a:ln>
          <a:noFill/>
        </a:ln>
      </c:spPr>
    </c:title>
    <c:plotArea>
      <c:layout>
        <c:manualLayout>
          <c:xMode val="edge"/>
          <c:yMode val="edge"/>
          <c:x val="0.03875"/>
          <c:y val="0.08975"/>
          <c:w val="0.958"/>
          <c:h val="0.84475"/>
        </c:manualLayout>
      </c:layout>
      <c:scatterChart>
        <c:scatterStyle val="smoothMarker"/>
        <c:varyColors val="0"/>
        <c:ser>
          <c:idx val="21"/>
          <c:order val="0"/>
          <c:tx>
            <c:strRef>
              <c:f>Study_graph!$A$197</c:f>
              <c:strCache>
                <c:ptCount val="1"/>
                <c:pt idx="0">
                  <c:v>HI @GW</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Study_graph!$B$156:$AZ$156</c:f>
              <c:numCache/>
            </c:numRef>
          </c:xVal>
          <c:yVal>
            <c:numRef>
              <c:f>Study_graph!$B$197:$AZ$197</c:f>
              <c:numCache/>
            </c:numRef>
          </c:yVal>
          <c:smooth val="1"/>
        </c:ser>
        <c:axId val="24381388"/>
        <c:axId val="18105901"/>
      </c:scatterChart>
      <c:valAx>
        <c:axId val="24381388"/>
        <c:scaling>
          <c:logBase val="10"/>
          <c:orientation val="minMax"/>
        </c:scaling>
        <c:axPos val="b"/>
        <c:title>
          <c:tx>
            <c:rich>
              <a:bodyPr vert="horz" rot="0" anchor="ctr"/>
              <a:lstStyle/>
              <a:p>
                <a:pPr algn="ctr">
                  <a:defRPr/>
                </a:pPr>
                <a:r>
                  <a:rPr lang="en-US" cap="none" sz="1200" b="1" i="0" u="none" baseline="0">
                    <a:solidFill>
                      <a:srgbClr val="000000"/>
                    </a:solidFill>
                  </a:rPr>
                  <a:t>Soil TPH, mg/kg of soil</a:t>
                </a:r>
              </a:p>
            </c:rich>
          </c:tx>
          <c:layout>
            <c:manualLayout>
              <c:xMode val="factor"/>
              <c:yMode val="factor"/>
              <c:x val="0.0055"/>
              <c:y val="-0.0005"/>
            </c:manualLayout>
          </c:layout>
          <c:overlay val="0"/>
          <c:spPr>
            <a:noFill/>
            <a:ln>
              <a:noFill/>
            </a:ln>
          </c:spPr>
        </c:title>
        <c:delete val="0"/>
        <c:numFmt formatCode="General" sourceLinked="0"/>
        <c:majorTickMark val="out"/>
        <c:minorTickMark val="in"/>
        <c:tickLblPos val="nextTo"/>
        <c:spPr>
          <a:ln w="3175">
            <a:solidFill>
              <a:srgbClr val="000000"/>
            </a:solidFill>
          </a:ln>
        </c:spPr>
        <c:txPr>
          <a:bodyPr vert="horz" rot="0"/>
          <a:lstStyle/>
          <a:p>
            <a:pPr>
              <a:defRPr lang="en-US" cap="none" sz="1000" b="0" i="0" u="none" baseline="0">
                <a:solidFill>
                  <a:srgbClr val="000000"/>
                </a:solidFill>
              </a:defRPr>
            </a:pPr>
          </a:p>
        </c:txPr>
        <c:crossAx val="18105901"/>
        <c:crosses val="autoZero"/>
        <c:crossBetween val="midCat"/>
        <c:dispUnits/>
      </c:valAx>
      <c:valAx>
        <c:axId val="18105901"/>
        <c:scaling>
          <c:orientation val="minMax"/>
        </c:scaling>
        <c:axPos val="l"/>
        <c:title>
          <c:tx>
            <c:rich>
              <a:bodyPr vert="horz" rot="-5400000" anchor="ctr"/>
              <a:lstStyle/>
              <a:p>
                <a:pPr algn="ctr">
                  <a:defRPr/>
                </a:pPr>
                <a:r>
                  <a:rPr lang="en-US" cap="none" sz="1200" b="1" i="0" u="none" baseline="0">
                    <a:solidFill>
                      <a:srgbClr val="000000"/>
                    </a:solidFill>
                  </a:rPr>
                  <a:t>Hazard Index Predicted @Well</a:t>
                </a:r>
              </a:p>
            </c:rich>
          </c:tx>
          <c:layout>
            <c:manualLayout>
              <c:xMode val="factor"/>
              <c:yMode val="factor"/>
              <c:x val="-0.00175"/>
              <c:y val="-0.0025"/>
            </c:manualLayout>
          </c:layout>
          <c:overlay val="0"/>
          <c:spPr>
            <a:noFill/>
            <a:ln>
              <a:noFill/>
            </a:ln>
          </c:spPr>
        </c:title>
        <c:majorGridlines>
          <c:spPr>
            <a:ln w="3175">
              <a:solidFill>
                <a:srgbClr val="C0C0C0"/>
              </a:solidFill>
              <a:prstDash val="sysDot"/>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1000" b="0" i="0" u="none" baseline="0">
                <a:solidFill>
                  <a:srgbClr val="000000"/>
                </a:solidFill>
              </a:defRPr>
            </a:pPr>
          </a:p>
        </c:txPr>
        <c:crossAx val="24381388"/>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Soil TPH Vs. Predicted Risk @ Well</a:t>
            </a:r>
          </a:p>
        </c:rich>
      </c:tx>
      <c:layout>
        <c:manualLayout>
          <c:xMode val="factor"/>
          <c:yMode val="factor"/>
          <c:x val="-0.0015"/>
          <c:y val="0"/>
        </c:manualLayout>
      </c:layout>
      <c:spPr>
        <a:noFill/>
        <a:ln>
          <a:noFill/>
        </a:ln>
      </c:spPr>
    </c:title>
    <c:plotArea>
      <c:layout>
        <c:manualLayout>
          <c:xMode val="edge"/>
          <c:yMode val="edge"/>
          <c:x val="0.026"/>
          <c:y val="0.089"/>
          <c:w val="0.97075"/>
          <c:h val="0.87125"/>
        </c:manualLayout>
      </c:layout>
      <c:scatterChart>
        <c:scatterStyle val="smoothMarker"/>
        <c:varyColors val="0"/>
        <c:ser>
          <c:idx val="21"/>
          <c:order val="0"/>
          <c:tx>
            <c:strRef>
              <c:f>Study_graph!$A$198</c:f>
              <c:strCache>
                <c:ptCount val="1"/>
                <c:pt idx="0">
                  <c:v>Risk @ Well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Study_graph!$B$156:$AZ$156</c:f>
              <c:numCache/>
            </c:numRef>
          </c:xVal>
          <c:yVal>
            <c:numRef>
              <c:f>Study_graph!$B$198:$AZ$198</c:f>
              <c:numCache/>
            </c:numRef>
          </c:yVal>
          <c:smooth val="1"/>
        </c:ser>
        <c:axId val="28735382"/>
        <c:axId val="57291847"/>
      </c:scatterChart>
      <c:valAx>
        <c:axId val="28735382"/>
        <c:scaling>
          <c:logBase val="10"/>
          <c:orientation val="minMax"/>
        </c:scaling>
        <c:axPos val="b"/>
        <c:title>
          <c:tx>
            <c:rich>
              <a:bodyPr vert="horz" rot="0" anchor="ctr"/>
              <a:lstStyle/>
              <a:p>
                <a:pPr algn="ctr">
                  <a:defRPr/>
                </a:pPr>
                <a:r>
                  <a:rPr lang="en-US" cap="none" sz="1200" b="1" i="0" u="none" baseline="0">
                    <a:solidFill>
                      <a:srgbClr val="000000"/>
                    </a:solidFill>
                  </a:rPr>
                  <a:t>Soil TPH, mg/kg of soil</a:t>
                </a:r>
              </a:p>
            </c:rich>
          </c:tx>
          <c:layout>
            <c:manualLayout>
              <c:xMode val="factor"/>
              <c:yMode val="factor"/>
              <c:x val="0.0125"/>
              <c:y val="-0.00075"/>
            </c:manualLayout>
          </c:layout>
          <c:overlay val="0"/>
          <c:spPr>
            <a:noFill/>
            <a:ln>
              <a:noFill/>
            </a:ln>
          </c:spPr>
        </c:title>
        <c:delete val="0"/>
        <c:numFmt formatCode="General" sourceLinked="0"/>
        <c:majorTickMark val="out"/>
        <c:minorTickMark val="in"/>
        <c:tickLblPos val="nextTo"/>
        <c:spPr>
          <a:ln w="3175">
            <a:solidFill>
              <a:srgbClr val="000000"/>
            </a:solidFill>
          </a:ln>
        </c:spPr>
        <c:txPr>
          <a:bodyPr vert="horz" rot="0"/>
          <a:lstStyle/>
          <a:p>
            <a:pPr>
              <a:defRPr lang="en-US" cap="none" sz="1000" b="0" i="0" u="none" baseline="0">
                <a:solidFill>
                  <a:srgbClr val="000000"/>
                </a:solidFill>
              </a:defRPr>
            </a:pPr>
          </a:p>
        </c:txPr>
        <c:crossAx val="57291847"/>
        <c:crosses val="autoZero"/>
        <c:crossBetween val="midCat"/>
        <c:dispUnits/>
      </c:valAx>
      <c:valAx>
        <c:axId val="57291847"/>
        <c:scaling>
          <c:orientation val="minMax"/>
        </c:scaling>
        <c:axPos val="l"/>
        <c:title>
          <c:tx>
            <c:rich>
              <a:bodyPr vert="horz" rot="-5400000" anchor="ctr"/>
              <a:lstStyle/>
              <a:p>
                <a:pPr algn="ctr">
                  <a:defRPr/>
                </a:pPr>
                <a:r>
                  <a:rPr lang="en-US" cap="none" sz="1200" b="1" i="0" u="none" baseline="0">
                    <a:solidFill>
                      <a:srgbClr val="000000"/>
                    </a:solidFill>
                  </a:rPr>
                  <a:t>Risk Predicted @Well</a:t>
                </a:r>
              </a:p>
            </c:rich>
          </c:tx>
          <c:layout>
            <c:manualLayout>
              <c:xMode val="factor"/>
              <c:yMode val="factor"/>
              <c:x val="-0.00075"/>
              <c:y val="-0.00225"/>
            </c:manualLayout>
          </c:layout>
          <c:overlay val="0"/>
          <c:spPr>
            <a:noFill/>
            <a:ln>
              <a:noFill/>
            </a:ln>
          </c:spPr>
        </c:title>
        <c:majorGridlines>
          <c:spPr>
            <a:ln w="3175">
              <a:solidFill>
                <a:srgbClr val="C0C0C0"/>
              </a:solidFill>
              <a:prstDash val="sysDot"/>
            </a:ln>
          </c:spPr>
        </c:majorGridlines>
        <c:delete val="0"/>
        <c:numFmt formatCode="0.00E+00" sourceLinked="0"/>
        <c:majorTickMark val="out"/>
        <c:minorTickMark val="in"/>
        <c:tickLblPos val="nextTo"/>
        <c:spPr>
          <a:ln w="3175">
            <a:solidFill>
              <a:srgbClr val="000000"/>
            </a:solidFill>
          </a:ln>
        </c:spPr>
        <c:txPr>
          <a:bodyPr vert="horz" rot="0"/>
          <a:lstStyle/>
          <a:p>
            <a:pPr>
              <a:defRPr lang="en-US" cap="none" sz="1000" b="0" i="0" u="none" baseline="0">
                <a:solidFill>
                  <a:srgbClr val="000000"/>
                </a:solidFill>
              </a:defRPr>
            </a:pPr>
          </a:p>
        </c:txPr>
        <c:crossAx val="28735382"/>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Predicted TPH Mass Distribution in 4-Phase
after Equilibrium Partitioning</a:t>
            </a:r>
          </a:p>
        </c:rich>
      </c:tx>
      <c:layout>
        <c:manualLayout>
          <c:xMode val="factor"/>
          <c:yMode val="factor"/>
          <c:x val="-0.048"/>
          <c:y val="0.01725"/>
        </c:manualLayout>
      </c:layout>
      <c:spPr>
        <a:noFill/>
        <a:ln>
          <a:noFill/>
        </a:ln>
      </c:spPr>
    </c:title>
    <c:view3D>
      <c:rotX val="30"/>
      <c:hPercent val="100"/>
      <c:rotY val="20"/>
      <c:depthPercent val="100"/>
      <c:rAngAx val="1"/>
    </c:view3D>
    <c:plotArea>
      <c:layout>
        <c:manualLayout>
          <c:xMode val="edge"/>
          <c:yMode val="edge"/>
          <c:x val="0.3655"/>
          <c:y val="0.384"/>
          <c:w val="0.2675"/>
          <c:h val="0.31025"/>
        </c:manualLayout>
      </c:layout>
      <c:pie3DChart>
        <c:varyColors val="1"/>
        <c:ser>
          <c:idx val="0"/>
          <c:order val="0"/>
          <c:spPr>
            <a:solidFill>
              <a:srgbClr val="9999FF"/>
            </a:solidFill>
            <a:ln w="12700">
              <a:solidFill>
                <a:srgbClr val="000000"/>
              </a:solid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explosion val="16"/>
            <c:spPr>
              <a:pattFill prst="pct20">
                <a:fgClr>
                  <a:srgbClr val="000000"/>
                </a:fgClr>
                <a:bgClr>
                  <a:srgbClr val="FFFFFF"/>
                </a:bgClr>
              </a:pattFill>
              <a:ln w="12700">
                <a:solidFill>
                  <a:srgbClr val="000000"/>
                </a:solidFill>
              </a:ln>
            </c:spPr>
          </c:dPt>
          <c:dLbls>
            <c:dLbl>
              <c:idx val="0"/>
              <c:layout>
                <c:manualLayout>
                  <c:x val="0"/>
                  <c:y val="0"/>
                </c:manualLayout>
              </c:layout>
              <c:txPr>
                <a:bodyPr vert="horz" rot="0" anchor="just"/>
                <a:lstStyle/>
                <a:p>
                  <a:pPr algn="just" rtl="1">
                    <a:defRPr lang="en-US" cap="none" sz="800" b="0" i="0" u="none" baseline="0">
                      <a:solidFill>
                        <a:srgbClr val="000000"/>
                      </a:solidFill>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just"/>
                <a:lstStyle/>
                <a:p>
                  <a:pPr algn="just" rtl="1">
                    <a:defRPr lang="en-US" cap="none" sz="800" b="0" i="0" u="none" baseline="0">
                      <a:solidFill>
                        <a:srgbClr val="000000"/>
                      </a:solidFill>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just"/>
                <a:lstStyle/>
                <a:p>
                  <a:pPr algn="just" rtl="1">
                    <a:defRPr lang="en-US" cap="none" sz="800" b="0" i="0" u="none" baseline="0">
                      <a:solidFill>
                        <a:srgbClr val="000000"/>
                      </a:solidFill>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just"/>
                <a:lstStyle/>
                <a:p>
                  <a:pPr algn="just" rtl="1">
                    <a:defRPr lang="en-US" cap="none" sz="800" b="0" i="0" u="none" baseline="0">
                      <a:solidFill>
                        <a:srgbClr val="000000"/>
                      </a:solidFill>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just"/>
              <a:lstStyle/>
              <a:p>
                <a:pPr algn="just" rtl="1">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'Soil-to-GroundWater'!$U$52:$U$55</c:f>
              <c:strCache>
                <c:ptCount val="4"/>
                <c:pt idx="0">
                  <c:v>In Water phase</c:v>
                </c:pt>
                <c:pt idx="1">
                  <c:v>In Air Phase</c:v>
                </c:pt>
                <c:pt idx="2">
                  <c:v>In NAPL Phase</c:v>
                </c:pt>
                <c:pt idx="3">
                  <c:v>In dry Solid Phase</c:v>
                </c:pt>
              </c:strCache>
            </c:strRef>
          </c:cat>
          <c:val>
            <c:numRef>
              <c:f>'Soil-to-GroundWater'!$V$52:$V$55</c:f>
              <c:numCache>
                <c:ptCount val="4"/>
                <c:pt idx="0">
                  <c:v>7.543580269926268E-05</c:v>
                </c:pt>
                <c:pt idx="1">
                  <c:v>6.781268282045439E-05</c:v>
                </c:pt>
                <c:pt idx="2">
                  <c:v>0.9994995673067733</c:v>
                </c:pt>
                <c:pt idx="3">
                  <c:v>0.00035718420770698955</c:v>
                </c:pt>
              </c:numCache>
            </c:numRef>
          </c:val>
        </c:ser>
        <c:firstSliceAng val="20"/>
      </c:pie3DChart>
      <c:spPr>
        <a:noFill/>
        <a:ln>
          <a:noFill/>
        </a:ln>
      </c:spPr>
    </c:plotArea>
    <c:legend>
      <c:legendPos val="l"/>
      <c:layout>
        <c:manualLayout>
          <c:xMode val="edge"/>
          <c:yMode val="edge"/>
          <c:x val="0.05375"/>
          <c:y val="0.11925"/>
          <c:w val="0.146"/>
          <c:h val="0.18"/>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3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Mass Distribution of Components at different media </a:t>
            </a:r>
          </a:p>
        </c:rich>
      </c:tx>
      <c:layout>
        <c:manualLayout>
          <c:xMode val="factor"/>
          <c:yMode val="factor"/>
          <c:x val="-0.00275"/>
          <c:y val="0.00975"/>
        </c:manualLayout>
      </c:layout>
      <c:spPr>
        <a:noFill/>
        <a:ln>
          <a:noFill/>
        </a:ln>
      </c:spPr>
    </c:title>
    <c:view3D>
      <c:rotX val="20"/>
      <c:hPercent val="55"/>
      <c:rotY val="22"/>
      <c:depthPercent val="100"/>
      <c:rAngAx val="1"/>
    </c:view3D>
    <c:plotArea>
      <c:layout>
        <c:manualLayout>
          <c:xMode val="edge"/>
          <c:yMode val="edge"/>
          <c:x val="0"/>
          <c:y val="0"/>
          <c:w val="1"/>
          <c:h val="0.86675"/>
        </c:manualLayout>
      </c:layout>
      <c:bar3DChart>
        <c:barDir val="col"/>
        <c:grouping val="standard"/>
        <c:varyColors val="0"/>
        <c:ser>
          <c:idx val="0"/>
          <c:order val="0"/>
          <c:tx>
            <c:strRef>
              <c:f>'EC Distribution Graph'!$B$34</c:f>
              <c:strCache>
                <c:ptCount val="1"/>
                <c:pt idx="0">
                  <c:v>Mass fraction @Soil (Measured)</c:v>
                </c:pt>
              </c:strCache>
            </c:strRef>
          </c:tx>
          <c:spPr>
            <a:pattFill prst="narHorz">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rtl="1">
                  <a:defRPr lang="en-US" cap="none" sz="800" b="0" i="0" u="none" baseline="0">
                    <a:solidFill>
                      <a:srgbClr val="000000"/>
                    </a:solidFill>
                  </a:defRPr>
                </a:pPr>
              </a:p>
            </c:txPr>
            <c:showLegendKey val="0"/>
            <c:showVal val="1"/>
            <c:showBubbleSize val="0"/>
            <c:showCatName val="0"/>
            <c:showSerName val="0"/>
            <c:showPercent val="0"/>
          </c:dLbls>
          <c:cat>
            <c:strRef>
              <c:f>'EC Distribution Graph'!$A$35:$A$64</c:f>
              <c:strCache/>
            </c:strRef>
          </c:cat>
          <c:val>
            <c:numRef>
              <c:f>'EC Distribution Graph'!$B$35:$B$64</c:f>
              <c:numCache/>
            </c:numRef>
          </c:val>
          <c:shape val="box"/>
        </c:ser>
        <c:ser>
          <c:idx val="1"/>
          <c:order val="1"/>
          <c:tx>
            <c:strRef>
              <c:f>'EC Distribution Graph'!$C$34</c:f>
              <c:strCache>
                <c:ptCount val="1"/>
                <c:pt idx="0">
                  <c:v>Mass fraction @Well</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rtl="1">
                  <a:defRPr lang="en-US" cap="none" sz="800" b="0" i="0" u="none" baseline="0">
                    <a:solidFill>
                      <a:srgbClr val="000000"/>
                    </a:solidFill>
                  </a:defRPr>
                </a:pPr>
              </a:p>
            </c:txPr>
            <c:showLegendKey val="0"/>
            <c:showVal val="1"/>
            <c:showBubbleSize val="0"/>
            <c:showCatName val="0"/>
            <c:showSerName val="0"/>
            <c:showPercent val="0"/>
          </c:dLbls>
          <c:cat>
            <c:strRef>
              <c:f>'EC Distribution Graph'!$A$35:$A$64</c:f>
              <c:strCache/>
            </c:strRef>
          </c:cat>
          <c:val>
            <c:numRef>
              <c:f>'EC Distribution Graph'!$C$35:$C$64</c:f>
              <c:numCache/>
            </c:numRef>
          </c:val>
          <c:shape val="box"/>
        </c:ser>
        <c:ser>
          <c:idx val="2"/>
          <c:order val="2"/>
          <c:tx>
            <c:strRef>
              <c:f>'EC Distribution Graph'!$D$34</c:f>
              <c:strCache>
                <c:ptCount val="1"/>
                <c:pt idx="0">
                  <c:v>Hazard Index fraction @Well</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'EC Distribution Graph'!$A$35:$A$64</c:f>
              <c:strCache/>
            </c:strRef>
          </c:cat>
          <c:val>
            <c:numRef>
              <c:f>'EC Distribution Graph'!$D$35:$D$64</c:f>
              <c:numCache/>
            </c:numRef>
          </c:val>
          <c:shape val="box"/>
        </c:ser>
        <c:gapWidth val="100"/>
        <c:shape val="box"/>
        <c:axId val="45864576"/>
        <c:axId val="10128001"/>
        <c:axId val="24043146"/>
      </c:bar3DChart>
      <c:catAx>
        <c:axId val="4586457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Equivalent Carbon Group OR Chemical</a:t>
                </a:r>
              </a:p>
            </c:rich>
          </c:tx>
          <c:layout>
            <c:manualLayout>
              <c:xMode val="factor"/>
              <c:yMode val="factor"/>
              <c:x val="-0.0105"/>
              <c:y val="0.05675"/>
            </c:manualLayout>
          </c:layout>
          <c:overlay val="0"/>
          <c:spPr>
            <a:noFill/>
            <a:ln>
              <a:noFill/>
            </a:ln>
          </c:spPr>
        </c:title>
        <c:delete val="0"/>
        <c:numFmt formatCode="General" sourceLinked="1"/>
        <c:majorTickMark val="out"/>
        <c:minorTickMark val="none"/>
        <c:tickLblPos val="low"/>
        <c:spPr>
          <a:ln w="12700">
            <a:solidFill>
              <a:srgbClr val="000000"/>
            </a:solidFill>
          </a:ln>
        </c:spPr>
        <c:txPr>
          <a:bodyPr vert="horz" rot="2700000"/>
          <a:lstStyle/>
          <a:p>
            <a:pPr>
              <a:defRPr lang="en-US" cap="none" sz="725" b="0" i="0" u="none" baseline="0">
                <a:solidFill>
                  <a:srgbClr val="000000"/>
                </a:solidFill>
              </a:defRPr>
            </a:pPr>
          </a:p>
        </c:txPr>
        <c:crossAx val="10128001"/>
        <c:crosses val="autoZero"/>
        <c:auto val="1"/>
        <c:lblOffset val="100"/>
        <c:tickLblSkip val="1"/>
        <c:noMultiLvlLbl val="0"/>
      </c:catAx>
      <c:valAx>
        <c:axId val="10128001"/>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Composition, %</a:t>
                </a:r>
              </a:p>
            </c:rich>
          </c:tx>
          <c:layout>
            <c:manualLayout>
              <c:xMode val="factor"/>
              <c:yMode val="factor"/>
              <c:x val="0.00175"/>
              <c:y val="0.0042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864576"/>
        <c:crossesAt val="1"/>
        <c:crossBetween val="between"/>
        <c:dispUnits/>
        <c:majorUnit val="0.2"/>
      </c:valAx>
      <c:serAx>
        <c:axId val="24043146"/>
        <c:scaling>
          <c:orientation val="minMax"/>
        </c:scaling>
        <c:axPos val="b"/>
        <c:majorGridlines>
          <c:spPr>
            <a:ln w="3175">
              <a:solidFill>
                <a:srgbClr val="000000"/>
              </a:solidFill>
            </a:ln>
          </c:spPr>
        </c:majorGridlines>
        <c:delete val="1"/>
        <c:majorTickMark val="out"/>
        <c:minorTickMark val="none"/>
        <c:tickLblPos val="nextTo"/>
        <c:crossAx val="10128001"/>
        <c:crosses val="autoZero"/>
        <c:tickLblSkip val="1"/>
        <c:tickMarkSkip val="1"/>
      </c:serAx>
      <c:spPr>
        <a:noFill/>
        <a:ln w="3175">
          <a:solidFill>
            <a:srgbClr val="000000"/>
          </a:solidFill>
        </a:ln>
      </c:spPr>
    </c:plotArea>
    <c:legend>
      <c:legendPos val="r"/>
      <c:layout>
        <c:manualLayout>
          <c:xMode val="edge"/>
          <c:yMode val="edge"/>
          <c:x val="0.11325"/>
          <c:y val="0.13725"/>
          <c:w val="0.27875"/>
          <c:h val="0.09425"/>
        </c:manualLayout>
      </c:layout>
      <c:overlay val="0"/>
      <c:spPr>
        <a:noFill/>
        <a:ln w="3175">
          <a:noFill/>
        </a:ln>
      </c:spPr>
      <c:txPr>
        <a:bodyPr vert="horz" rot="0"/>
        <a:lstStyle/>
        <a:p>
          <a:pPr>
            <a:defRPr lang="en-US" cap="none" sz="1010" b="0" i="0" u="none" baseline="0">
              <a:solidFill>
                <a:srgbClr val="000000"/>
              </a:solidFill>
              <a:latin typeface="Arial"/>
              <a:ea typeface="Arial"/>
              <a:cs typeface="Aria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noFill/>
    </a:ln>
  </c:spPr>
  <c:txPr>
    <a:bodyPr vert="horz" rot="0"/>
    <a:lstStyle/>
    <a:p>
      <a:pPr>
        <a:defRPr lang="en-US" cap="none" sz="28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rPr>
              <a:t>Mass Distribution of Individual Components in 4-phase </a:t>
            </a:r>
          </a:p>
        </c:rich>
      </c:tx>
      <c:layout>
        <c:manualLayout>
          <c:xMode val="factor"/>
          <c:yMode val="factor"/>
          <c:x val="0.0075"/>
          <c:y val="-0.0165"/>
        </c:manualLayout>
      </c:layout>
      <c:spPr>
        <a:noFill/>
        <a:ln>
          <a:noFill/>
        </a:ln>
      </c:spPr>
    </c:title>
    <c:plotArea>
      <c:layout>
        <c:manualLayout>
          <c:xMode val="edge"/>
          <c:yMode val="edge"/>
          <c:x val="0.01675"/>
          <c:y val="0.11"/>
          <c:w val="0.98325"/>
          <c:h val="0.84775"/>
        </c:manualLayout>
      </c:layout>
      <c:barChart>
        <c:barDir val="col"/>
        <c:grouping val="percentStacked"/>
        <c:varyColors val="0"/>
        <c:ser>
          <c:idx val="0"/>
          <c:order val="0"/>
          <c:tx>
            <c:strRef>
              <c:f>'EC_Mass Dist'!$C$22</c:f>
              <c:strCache>
                <c:ptCount val="1"/>
                <c:pt idx="0">
                  <c:v>Pore Water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'EC_Mass Dist'!$B$23:$B$53</c:f>
              <c:strCache/>
            </c:strRef>
          </c:cat>
          <c:val>
            <c:numRef>
              <c:f>'EC_Mass Dist'!$C$23:$C$53</c:f>
              <c:numCache/>
            </c:numRef>
          </c:val>
        </c:ser>
        <c:ser>
          <c:idx val="1"/>
          <c:order val="1"/>
          <c:tx>
            <c:strRef>
              <c:f>'EC_Mass Dist'!$D$22</c:f>
              <c:strCache>
                <c:ptCount val="1"/>
                <c:pt idx="0">
                  <c:v>Pore Air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'EC_Mass Dist'!$B$23:$B$53</c:f>
              <c:strCache/>
            </c:strRef>
          </c:cat>
          <c:val>
            <c:numRef>
              <c:f>'EC_Mass Dist'!$D$23:$D$53</c:f>
              <c:numCache/>
            </c:numRef>
          </c:val>
        </c:ser>
        <c:ser>
          <c:idx val="2"/>
          <c:order val="2"/>
          <c:tx>
            <c:strRef>
              <c:f>'EC_Mass Dist'!$E$22</c:f>
              <c:strCache>
                <c:ptCount val="1"/>
                <c:pt idx="0">
                  <c:v>Dry Solid adsorbed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'EC_Mass Dist'!$B$23:$B$53</c:f>
              <c:strCache/>
            </c:strRef>
          </c:cat>
          <c:val>
            <c:numRef>
              <c:f>'EC_Mass Dist'!$E$23:$E$53</c:f>
              <c:numCache/>
            </c:numRef>
          </c:val>
        </c:ser>
        <c:ser>
          <c:idx val="3"/>
          <c:order val="3"/>
          <c:tx>
            <c:strRef>
              <c:f>'EC_Mass Dist'!$F$22</c:f>
              <c:strCache>
                <c:ptCount val="1"/>
                <c:pt idx="0">
                  <c:v>NAPL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'EC_Mass Dist'!$B$23:$B$53</c:f>
              <c:strCache/>
            </c:strRef>
          </c:cat>
          <c:val>
            <c:numRef>
              <c:f>'EC_Mass Dist'!$F$23:$F$53</c:f>
              <c:numCache/>
            </c:numRef>
          </c:val>
        </c:ser>
        <c:overlap val="100"/>
        <c:axId val="15061723"/>
        <c:axId val="1337780"/>
      </c:barChart>
      <c:catAx>
        <c:axId val="15061723"/>
        <c:scaling>
          <c:orientation val="minMax"/>
        </c:scaling>
        <c:axPos val="b"/>
        <c:title>
          <c:tx>
            <c:rich>
              <a:bodyPr vert="horz" rot="0" anchor="ctr"/>
              <a:lstStyle/>
              <a:p>
                <a:pPr algn="ctr">
                  <a:defRPr/>
                </a:pPr>
                <a:r>
                  <a:rPr lang="en-US" cap="none" sz="1175" b="1" i="0" u="none" baseline="0">
                    <a:solidFill>
                      <a:srgbClr val="000000"/>
                    </a:solidFill>
                  </a:rPr>
                  <a:t>Equivalent Carbon Group or Chemical</a:t>
                </a:r>
              </a:p>
            </c:rich>
          </c:tx>
          <c:layout>
            <c:manualLayout>
              <c:xMode val="factor"/>
              <c:yMode val="factor"/>
              <c:x val="0.00575"/>
              <c:y val="-0.00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337780"/>
        <c:crosses val="autoZero"/>
        <c:auto val="1"/>
        <c:lblOffset val="100"/>
        <c:tickLblSkip val="1"/>
        <c:noMultiLvlLbl val="0"/>
      </c:catAx>
      <c:valAx>
        <c:axId val="1337780"/>
        <c:scaling>
          <c:orientation val="minMax"/>
        </c:scaling>
        <c:axPos val="l"/>
        <c:title>
          <c:tx>
            <c:rich>
              <a:bodyPr vert="horz" rot="-5400000" anchor="ctr"/>
              <a:lstStyle/>
              <a:p>
                <a:pPr algn="ctr">
                  <a:defRPr/>
                </a:pPr>
                <a:r>
                  <a:rPr lang="en-US" cap="none" sz="800" b="0" i="0" u="none" baseline="0">
                    <a:solidFill>
                      <a:srgbClr val="000000"/>
                    </a:solidFill>
                  </a:rPr>
                  <a:t>Mass Composition, %</a:t>
                </a:r>
              </a:p>
            </c:rich>
          </c:tx>
          <c:layout>
            <c:manualLayout>
              <c:xMode val="factor"/>
              <c:yMode val="factor"/>
              <c:x val="0.0035"/>
              <c:y val="0.003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15061723"/>
        <c:crossesAt val="1"/>
        <c:crossBetween val="between"/>
        <c:dispUnits/>
        <c:majorUnit val="0.2"/>
      </c:valAx>
      <c:spPr>
        <a:noFill/>
        <a:ln w="12700">
          <a:solidFill>
            <a:srgbClr val="808080"/>
          </a:solidFill>
        </a:ln>
      </c:spPr>
    </c:plotArea>
    <c:legend>
      <c:legendPos val="r"/>
      <c:layout>
        <c:manualLayout>
          <c:xMode val="edge"/>
          <c:yMode val="edge"/>
          <c:x val="0.27175"/>
          <c:y val="0.0695"/>
          <c:w val="0.4345"/>
          <c:h val="0.071"/>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600" b="0" i="0" u="none" baseline="0">
          <a:solidFill>
            <a:srgbClr val="000000"/>
          </a:solidFill>
        </a:defRPr>
      </a:pPr>
    </a:p>
  </c:txPr>
  <c:date1904 val="1"/>
</chartSpace>
</file>

<file path=xl/drawings/_rels/drawing2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10</xdr:row>
      <xdr:rowOff>0</xdr:rowOff>
    </xdr:from>
    <xdr:ext cx="3429000" cy="1428750"/>
    <xdr:sp>
      <xdr:nvSpPr>
        <xdr:cNvPr id="1" name="TextBox 3"/>
        <xdr:cNvSpPr txBox="1">
          <a:spLocks noChangeArrowheads="1"/>
        </xdr:cNvSpPr>
      </xdr:nvSpPr>
      <xdr:spPr>
        <a:xfrm>
          <a:off x="800100" y="571500"/>
          <a:ext cx="3429000" cy="1428750"/>
        </a:xfrm>
        <a:prstGeom prst="rect">
          <a:avLst/>
        </a:prstGeom>
        <a:noFill/>
        <a:ln w="9525" cmpd="sng">
          <a:noFill/>
        </a:ln>
      </xdr:spPr>
      <xdr:txBody>
        <a:bodyPr vertOverflow="clip" wrap="square" anchor="ctr"/>
        <a:p>
          <a:pPr algn="l">
            <a:defRPr/>
          </a:pPr>
          <a:r>
            <a:rPr lang="en-US" cap="none" sz="1000" b="0" i="0" u="none" baseline="0">
              <a:solidFill>
                <a:srgbClr val="800000"/>
              </a:solidFill>
              <a:latin typeface="Arial"/>
              <a:ea typeface="Arial"/>
              <a:cs typeface="Arial"/>
            </a:rPr>
            <a:t>Revision to MTCATPH 11.1:  A change was made to the table of toxicological information for dibenz(a,h)anthracene.
 *previous version 11.0: TEF of dibenz(a,h)anthracene was 0.4.
 *this version 11.1:TEF of dibenz(a,h)anthracene is now 0.1.
This change does affect the calculation results.  This change results in higher cleanup level due to less TEF (Toxicity Equivalency Factor) value assigned for dibenz(a,h)anthracene.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3257550" cy="2343150"/>
    <xdr:sp>
      <xdr:nvSpPr>
        <xdr:cNvPr id="1" name="TextBox 3"/>
        <xdr:cNvSpPr txBox="1">
          <a:spLocks noChangeArrowheads="1"/>
        </xdr:cNvSpPr>
      </xdr:nvSpPr>
      <xdr:spPr>
        <a:xfrm>
          <a:off x="800100" y="400050"/>
          <a:ext cx="3257550" cy="2343150"/>
        </a:xfrm>
        <a:prstGeom prst="rect">
          <a:avLst/>
        </a:prstGeom>
        <a:noFill/>
        <a:ln w="9525" cmpd="sng">
          <a:noFill/>
        </a:ln>
      </xdr:spPr>
      <xdr:txBody>
        <a:bodyPr vertOverflow="clip" wrap="square" anchor="ctr"/>
        <a:p>
          <a:pPr algn="l">
            <a:defRPr/>
          </a:pPr>
          <a:r>
            <a:rPr lang="en-US" cap="none" sz="800" b="1" i="0" u="sng" baseline="0">
              <a:latin typeface="Arial"/>
              <a:ea typeface="Arial"/>
              <a:cs typeface="Arial"/>
            </a:rPr>
            <a:t>Abbreviations</a:t>
          </a:r>
          <a:r>
            <a:rPr lang="en-US" cap="none" sz="800" b="1" i="0" u="none" baseline="0">
              <a:latin typeface="Arial"/>
              <a:ea typeface="Arial"/>
              <a:cs typeface="Arial"/>
            </a:rPr>
            <a:t>
• 100% NAPL: TPH concentration at which air-filled pore volume   
    (</a:t>
          </a:r>
          <a:r>
            <a:rPr lang="en-US" cap="none" sz="800" b="1" i="1" u="none" baseline="0">
              <a:latin typeface="Arial"/>
              <a:ea typeface="Arial"/>
              <a:cs typeface="Arial"/>
            </a:rPr>
            <a:t>Q</a:t>
          </a:r>
          <a:r>
            <a:rPr lang="en-US" cap="none" sz="800" b="1" i="1" u="none" baseline="-25000">
              <a:latin typeface="Arial"/>
              <a:ea typeface="Arial"/>
              <a:cs typeface="Arial"/>
            </a:rPr>
            <a:t>a</a:t>
          </a:r>
          <a:r>
            <a:rPr lang="en-US" cap="none" sz="800" b="1" i="0" u="none" baseline="0">
              <a:latin typeface="Arial"/>
              <a:ea typeface="Arial"/>
              <a:cs typeface="Arial"/>
            </a:rPr>
            <a:t>) is completely filled by equilibrated NAPL.  This concentration is  
    usually well above Residual Saturation Level.
• AL_EC: Aliphatic Equivalent Carbon number
• AR_EC: Aromatic Equivalent Carbon number
• Conc: Concentration
• cPAHs: Carcinogenic Polycyclic Aromatic Hydrocarbon
• EC: Equivalent Carbon number
• GW: Ground Water
• HI: Hazardous Index
• HQ: Hazardous Quotient
• MCL: Maximum Contaminant Level
• mg/kg: miligrams per kilogram for soil media
• MW: Molecular Weight
• NA:  Not Applicable
• NAPL: Nonaqueous Phase Liquid
• RISK: Cancer Risk
• TPH: Total Petroleum Hydrocarbons
• ug/L: micrograms per liter for ground water media
</a:t>
          </a:r>
          <a:r>
            <a:rPr lang="en-US" cap="none" sz="900" b="0" i="0" u="none" baseline="0">
              <a:latin typeface="Arial"/>
              <a:ea typeface="Arial"/>
              <a:cs typeface="Arial"/>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4686300" cy="2743200"/>
    <xdr:sp>
      <xdr:nvSpPr>
        <xdr:cNvPr id="1" name="TextBox 10"/>
        <xdr:cNvSpPr txBox="1">
          <a:spLocks noChangeArrowheads="1"/>
        </xdr:cNvSpPr>
      </xdr:nvSpPr>
      <xdr:spPr>
        <a:xfrm>
          <a:off x="800100" y="400050"/>
          <a:ext cx="4686300" cy="2743200"/>
        </a:xfrm>
        <a:prstGeom prst="rect">
          <a:avLst/>
        </a:prstGeom>
        <a:noFill/>
        <a:ln w="9525" cmpd="sng">
          <a:noFill/>
        </a:ln>
      </xdr:spPr>
      <xdr:txBody>
        <a:bodyPr vertOverflow="clip" wrap="square" anchor="ctr"/>
        <a:p>
          <a:pPr algn="l">
            <a:defRPr/>
          </a:pPr>
          <a:r>
            <a:rPr lang="en-US" cap="none" sz="900" b="1" i="0" u="sng" baseline="0">
              <a:latin typeface="Arial"/>
              <a:ea typeface="Arial"/>
              <a:cs typeface="Arial"/>
            </a:rPr>
            <a:t>Quick Instruction for Calculating Soil TPH Cleanup Levels</a:t>
          </a:r>
          <a:r>
            <a:rPr lang="en-US" cap="none" sz="900" b="0" i="0" u="none" baseline="0">
              <a:latin typeface="Arial"/>
              <a:ea typeface="Arial"/>
              <a:cs typeface="Arial"/>
            </a:rPr>
            <a:t>
</a:t>
          </a:r>
          <a:r>
            <a:rPr lang="en-US" cap="none" sz="900" b="1" i="0" u="sng" baseline="0">
              <a:latin typeface="Arial"/>
              <a:ea typeface="Arial"/>
              <a:cs typeface="Arial"/>
            </a:rPr>
            <a:t>1. Data Entry Step:</a:t>
          </a:r>
          <a:r>
            <a:rPr lang="en-US" cap="none" sz="900" b="0" i="0" u="sng" baseline="0">
              <a:latin typeface="Arial"/>
              <a:ea typeface="Arial"/>
              <a:cs typeface="Arial"/>
            </a:rPr>
            <a:t> </a:t>
          </a:r>
          <a:r>
            <a:rPr lang="en-US" cap="none" sz="900" b="0" i="0" u="none" baseline="0">
              <a:latin typeface="Arial"/>
              <a:ea typeface="Arial"/>
              <a:cs typeface="Arial"/>
            </a:rPr>
            <a:t>  
• Leave blank if there are no data availabe.
• On the MTCATPH Tool Navigator, select “A1” button.
• Under Section 1, enter site information.
• Under Section 2, enter measured soil concentrations.
• Under Section 3, enter site-specific hydrogeological data or enter MTCA default values by selecting “Set Default Hydrogeology” button.
• Under Section 4, enter site-specific target TPH ground water concentration that is already adjusted (if applicable and known).
• Select “Main” button to return to the MTCATPH Tool Navigator.
</a:t>
          </a:r>
          <a:r>
            <a:rPr lang="en-US" cap="none" sz="900" b="1" i="0" u="sng" baseline="0">
              <a:latin typeface="Arial"/>
              <a:ea typeface="Arial"/>
              <a:cs typeface="Arial"/>
            </a:rPr>
            <a:t>2. Calculation Step:</a:t>
          </a:r>
          <a:r>
            <a:rPr lang="en-US" cap="none" sz="900" b="0" i="0" u="none" baseline="0">
              <a:latin typeface="Arial"/>
              <a:ea typeface="Arial"/>
              <a:cs typeface="Arial"/>
            </a:rPr>
            <a:t>
• On the MTCATPH Tool Navigator, select “A2” button.
• In response to question, enter “y” or “n”.
• Select “Execute Calculation” button.
• If the “Warning” dialogue box appears, then follow the instructions shown for how to calculate a protective TPH soil concentration.
• Select “Print” button to obtain a hard copy of the calculation (inputs and outputs). 
• Select “Main” button to return to the MTCATPH Tool Navigator OR select “End” button to exit the MTCATPH Tool.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34</xdr:row>
      <xdr:rowOff>0</xdr:rowOff>
    </xdr:from>
    <xdr:to>
      <xdr:col>24</xdr:col>
      <xdr:colOff>9525</xdr:colOff>
      <xdr:row>49</xdr:row>
      <xdr:rowOff>28575</xdr:rowOff>
    </xdr:to>
    <xdr:sp>
      <xdr:nvSpPr>
        <xdr:cNvPr id="1" name="Line 23"/>
        <xdr:cNvSpPr>
          <a:spLocks/>
        </xdr:cNvSpPr>
      </xdr:nvSpPr>
      <xdr:spPr>
        <a:xfrm>
          <a:off x="1371600" y="1943100"/>
          <a:ext cx="9525" cy="885825"/>
        </a:xfrm>
        <a:prstGeom prst="line">
          <a:avLst/>
        </a:prstGeom>
        <a:noFill/>
        <a:ln w="12700" cmpd="sng">
          <a:solidFill>
            <a:srgbClr val="3366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31</xdr:row>
      <xdr:rowOff>28575</xdr:rowOff>
    </xdr:from>
    <xdr:to>
      <xdr:col>27</xdr:col>
      <xdr:colOff>9525</xdr:colOff>
      <xdr:row>36</xdr:row>
      <xdr:rowOff>28575</xdr:rowOff>
    </xdr:to>
    <xdr:sp>
      <xdr:nvSpPr>
        <xdr:cNvPr id="2" name="Line 29"/>
        <xdr:cNvSpPr>
          <a:spLocks/>
        </xdr:cNvSpPr>
      </xdr:nvSpPr>
      <xdr:spPr>
        <a:xfrm>
          <a:off x="1543050" y="1800225"/>
          <a:ext cx="9525" cy="285750"/>
        </a:xfrm>
        <a:prstGeom prst="line">
          <a:avLst/>
        </a:prstGeom>
        <a:noFill/>
        <a:ln w="12700" cmpd="sng">
          <a:solidFill>
            <a:srgbClr val="3366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19</xdr:col>
      <xdr:colOff>0</xdr:colOff>
      <xdr:row>6</xdr:row>
      <xdr:rowOff>0</xdr:rowOff>
    </xdr:from>
    <xdr:ext cx="3028950" cy="228600"/>
    <xdr:sp>
      <xdr:nvSpPr>
        <xdr:cNvPr id="3" name="TextBox 42"/>
        <xdr:cNvSpPr txBox="1">
          <a:spLocks noChangeArrowheads="1"/>
        </xdr:cNvSpPr>
      </xdr:nvSpPr>
      <xdr:spPr>
        <a:xfrm>
          <a:off x="1085850" y="342900"/>
          <a:ext cx="3028950" cy="228600"/>
        </a:xfrm>
        <a:prstGeom prst="rect">
          <a:avLst/>
        </a:prstGeom>
        <a:noFill/>
        <a:ln w="9525" cmpd="sng">
          <a:noFill/>
        </a:ln>
      </xdr:spPr>
      <xdr:txBody>
        <a:bodyPr vertOverflow="clip" wrap="square" anchor="ctr"/>
        <a:p>
          <a:pPr algn="ctr">
            <a:defRPr/>
          </a:pPr>
          <a:r>
            <a:rPr lang="en-US" cap="none" sz="1400" b="1" i="1" u="none" baseline="0">
              <a:solidFill>
                <a:srgbClr val="FF0000"/>
              </a:solidFill>
              <a:latin typeface="Arial"/>
              <a:ea typeface="Arial"/>
              <a:cs typeface="Arial"/>
            </a:rPr>
            <a:t>MTCATPH Tool Navigator</a:t>
          </a:r>
        </a:p>
      </xdr:txBody>
    </xdr:sp>
    <xdr:clientData/>
  </xdr:oneCellAnchor>
  <xdr:twoCellAnchor>
    <xdr:from>
      <xdr:col>27</xdr:col>
      <xdr:colOff>0</xdr:colOff>
      <xdr:row>31</xdr:row>
      <xdr:rowOff>28575</xdr:rowOff>
    </xdr:from>
    <xdr:to>
      <xdr:col>30</xdr:col>
      <xdr:colOff>0</xdr:colOff>
      <xdr:row>31</xdr:row>
      <xdr:rowOff>38100</xdr:rowOff>
    </xdr:to>
    <xdr:sp>
      <xdr:nvSpPr>
        <xdr:cNvPr id="4" name="Line 46"/>
        <xdr:cNvSpPr>
          <a:spLocks/>
        </xdr:cNvSpPr>
      </xdr:nvSpPr>
      <xdr:spPr>
        <a:xfrm>
          <a:off x="1543050" y="1800225"/>
          <a:ext cx="17145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49</xdr:row>
      <xdr:rowOff>28575</xdr:rowOff>
    </xdr:from>
    <xdr:to>
      <xdr:col>30</xdr:col>
      <xdr:colOff>0</xdr:colOff>
      <xdr:row>49</xdr:row>
      <xdr:rowOff>38100</xdr:rowOff>
    </xdr:to>
    <xdr:sp>
      <xdr:nvSpPr>
        <xdr:cNvPr id="5" name="Line 47"/>
        <xdr:cNvSpPr>
          <a:spLocks/>
        </xdr:cNvSpPr>
      </xdr:nvSpPr>
      <xdr:spPr>
        <a:xfrm>
          <a:off x="1371600" y="2828925"/>
          <a:ext cx="34290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42</xdr:row>
      <xdr:rowOff>28575</xdr:rowOff>
    </xdr:from>
    <xdr:to>
      <xdr:col>30</xdr:col>
      <xdr:colOff>0</xdr:colOff>
      <xdr:row>42</xdr:row>
      <xdr:rowOff>38100</xdr:rowOff>
    </xdr:to>
    <xdr:sp>
      <xdr:nvSpPr>
        <xdr:cNvPr id="6" name="Line 48"/>
        <xdr:cNvSpPr>
          <a:spLocks/>
        </xdr:cNvSpPr>
      </xdr:nvSpPr>
      <xdr:spPr>
        <a:xfrm>
          <a:off x="1371600" y="2428875"/>
          <a:ext cx="34290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34</xdr:row>
      <xdr:rowOff>0</xdr:rowOff>
    </xdr:from>
    <xdr:to>
      <xdr:col>27</xdr:col>
      <xdr:colOff>0</xdr:colOff>
      <xdr:row>34</xdr:row>
      <xdr:rowOff>9525</xdr:rowOff>
    </xdr:to>
    <xdr:sp>
      <xdr:nvSpPr>
        <xdr:cNvPr id="7" name="Line 50"/>
        <xdr:cNvSpPr>
          <a:spLocks/>
        </xdr:cNvSpPr>
      </xdr:nvSpPr>
      <xdr:spPr>
        <a:xfrm>
          <a:off x="1371600" y="1943100"/>
          <a:ext cx="17145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36</xdr:row>
      <xdr:rowOff>28575</xdr:rowOff>
    </xdr:from>
    <xdr:to>
      <xdr:col>30</xdr:col>
      <xdr:colOff>0</xdr:colOff>
      <xdr:row>36</xdr:row>
      <xdr:rowOff>38100</xdr:rowOff>
    </xdr:to>
    <xdr:sp>
      <xdr:nvSpPr>
        <xdr:cNvPr id="8" name="Line 52"/>
        <xdr:cNvSpPr>
          <a:spLocks/>
        </xdr:cNvSpPr>
      </xdr:nvSpPr>
      <xdr:spPr>
        <a:xfrm>
          <a:off x="1543050" y="2085975"/>
          <a:ext cx="17145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42</xdr:row>
      <xdr:rowOff>47625</xdr:rowOff>
    </xdr:from>
    <xdr:to>
      <xdr:col>24</xdr:col>
      <xdr:colOff>0</xdr:colOff>
      <xdr:row>43</xdr:row>
      <xdr:rowOff>0</xdr:rowOff>
    </xdr:to>
    <xdr:sp>
      <xdr:nvSpPr>
        <xdr:cNvPr id="9" name="Line 59"/>
        <xdr:cNvSpPr>
          <a:spLocks/>
        </xdr:cNvSpPr>
      </xdr:nvSpPr>
      <xdr:spPr>
        <a:xfrm flipV="1">
          <a:off x="1200150" y="2447925"/>
          <a:ext cx="171450" cy="9525"/>
        </a:xfrm>
        <a:prstGeom prst="line">
          <a:avLst/>
        </a:prstGeom>
        <a:noFill/>
        <a:ln w="12700" cmpd="sng">
          <a:solidFill>
            <a:srgbClr val="3366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25</xdr:row>
      <xdr:rowOff>0</xdr:rowOff>
    </xdr:from>
    <xdr:to>
      <xdr:col>21</xdr:col>
      <xdr:colOff>9525</xdr:colOff>
      <xdr:row>43</xdr:row>
      <xdr:rowOff>0</xdr:rowOff>
    </xdr:to>
    <xdr:sp>
      <xdr:nvSpPr>
        <xdr:cNvPr id="10" name="Line 60"/>
        <xdr:cNvSpPr>
          <a:spLocks/>
        </xdr:cNvSpPr>
      </xdr:nvSpPr>
      <xdr:spPr>
        <a:xfrm rot="5400000" flipV="1">
          <a:off x="1200150" y="1428750"/>
          <a:ext cx="9525" cy="1028700"/>
        </a:xfrm>
        <a:prstGeom prst="line">
          <a:avLst/>
        </a:prstGeom>
        <a:noFill/>
        <a:ln w="12700" cmpd="sng">
          <a:solidFill>
            <a:srgbClr val="3366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18</xdr:col>
      <xdr:colOff>0</xdr:colOff>
      <xdr:row>12</xdr:row>
      <xdr:rowOff>0</xdr:rowOff>
    </xdr:from>
    <xdr:ext cx="2114550" cy="171450"/>
    <xdr:sp>
      <xdr:nvSpPr>
        <xdr:cNvPr id="11" name="TextBox 61"/>
        <xdr:cNvSpPr txBox="1">
          <a:spLocks noChangeArrowheads="1"/>
        </xdr:cNvSpPr>
      </xdr:nvSpPr>
      <xdr:spPr>
        <a:xfrm>
          <a:off x="1028700" y="685800"/>
          <a:ext cx="2114550" cy="171450"/>
        </a:xfrm>
        <a:prstGeom prst="rect">
          <a:avLst/>
        </a:prstGeom>
        <a:noFill/>
        <a:ln w="9525" cmpd="sng">
          <a:noFill/>
        </a:ln>
      </xdr:spPr>
      <xdr:txBody>
        <a:bodyPr vertOverflow="clip" wrap="square" anchor="ctr"/>
        <a:p>
          <a:pPr algn="l">
            <a:defRPr/>
          </a:pPr>
          <a:r>
            <a:rPr lang="en-US" cap="none" sz="800" b="1" i="0" u="none" baseline="0">
              <a:latin typeface="Arial"/>
              <a:ea typeface="Arial"/>
              <a:cs typeface="Arial"/>
            </a:rPr>
            <a:t>A. Calculating Soil TPH Cleanup Levels</a:t>
          </a:r>
        </a:p>
      </xdr:txBody>
    </xdr:sp>
    <xdr:clientData/>
  </xdr:oneCellAnchor>
  <xdr:twoCellAnchor>
    <xdr:from>
      <xdr:col>17</xdr:col>
      <xdr:colOff>0</xdr:colOff>
      <xdr:row>12</xdr:row>
      <xdr:rowOff>0</xdr:rowOff>
    </xdr:from>
    <xdr:to>
      <xdr:col>73</xdr:col>
      <xdr:colOff>0</xdr:colOff>
      <xdr:row>12</xdr:row>
      <xdr:rowOff>9525</xdr:rowOff>
    </xdr:to>
    <xdr:sp>
      <xdr:nvSpPr>
        <xdr:cNvPr id="12" name="Line 63"/>
        <xdr:cNvSpPr>
          <a:spLocks/>
        </xdr:cNvSpPr>
      </xdr:nvSpPr>
      <xdr:spPr>
        <a:xfrm>
          <a:off x="971550" y="685800"/>
          <a:ext cx="3200400"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18</xdr:col>
      <xdr:colOff>0</xdr:colOff>
      <xdr:row>55</xdr:row>
      <xdr:rowOff>0</xdr:rowOff>
    </xdr:from>
    <xdr:ext cx="2286000" cy="171450"/>
    <xdr:sp>
      <xdr:nvSpPr>
        <xdr:cNvPr id="13" name="TextBox 64"/>
        <xdr:cNvSpPr txBox="1">
          <a:spLocks noChangeArrowheads="1"/>
        </xdr:cNvSpPr>
      </xdr:nvSpPr>
      <xdr:spPr>
        <a:xfrm>
          <a:off x="1028700" y="3143250"/>
          <a:ext cx="2286000" cy="171450"/>
        </a:xfrm>
        <a:prstGeom prst="rect">
          <a:avLst/>
        </a:prstGeom>
        <a:noFill/>
        <a:ln w="9525" cmpd="sng">
          <a:noFill/>
        </a:ln>
      </xdr:spPr>
      <xdr:txBody>
        <a:bodyPr vertOverflow="clip" wrap="square" anchor="ctr"/>
        <a:p>
          <a:pPr algn="l">
            <a:defRPr/>
          </a:pPr>
          <a:r>
            <a:rPr lang="en-US" cap="none" sz="800" b="1" i="0" u="none" baseline="0">
              <a:latin typeface="Arial"/>
              <a:ea typeface="Arial"/>
              <a:cs typeface="Arial"/>
            </a:rPr>
            <a:t>B. Calculating Ground Water TPH Cleanup Levels</a:t>
          </a:r>
        </a:p>
      </xdr:txBody>
    </xdr:sp>
    <xdr:clientData/>
  </xdr:oneCellAnchor>
  <xdr:twoCellAnchor>
    <xdr:from>
      <xdr:col>17</xdr:col>
      <xdr:colOff>9525</xdr:colOff>
      <xdr:row>54</xdr:row>
      <xdr:rowOff>47625</xdr:rowOff>
    </xdr:from>
    <xdr:to>
      <xdr:col>73</xdr:col>
      <xdr:colOff>0</xdr:colOff>
      <xdr:row>55</xdr:row>
      <xdr:rowOff>0</xdr:rowOff>
    </xdr:to>
    <xdr:sp>
      <xdr:nvSpPr>
        <xdr:cNvPr id="14" name="Line 66"/>
        <xdr:cNvSpPr>
          <a:spLocks/>
        </xdr:cNvSpPr>
      </xdr:nvSpPr>
      <xdr:spPr>
        <a:xfrm>
          <a:off x="981075" y="3133725"/>
          <a:ext cx="3190875"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63</xdr:row>
      <xdr:rowOff>47625</xdr:rowOff>
    </xdr:from>
    <xdr:to>
      <xdr:col>73</xdr:col>
      <xdr:colOff>0</xdr:colOff>
      <xdr:row>64</xdr:row>
      <xdr:rowOff>0</xdr:rowOff>
    </xdr:to>
    <xdr:sp>
      <xdr:nvSpPr>
        <xdr:cNvPr id="15" name="Line 67"/>
        <xdr:cNvSpPr>
          <a:spLocks/>
        </xdr:cNvSpPr>
      </xdr:nvSpPr>
      <xdr:spPr>
        <a:xfrm>
          <a:off x="971550" y="3648075"/>
          <a:ext cx="3200400"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19</xdr:row>
      <xdr:rowOff>0</xdr:rowOff>
    </xdr:from>
    <xdr:to>
      <xdr:col>21</xdr:col>
      <xdr:colOff>9525</xdr:colOff>
      <xdr:row>21</xdr:row>
      <xdr:rowOff>0</xdr:rowOff>
    </xdr:to>
    <xdr:sp>
      <xdr:nvSpPr>
        <xdr:cNvPr id="16" name="Line 70"/>
        <xdr:cNvSpPr>
          <a:spLocks/>
        </xdr:cNvSpPr>
      </xdr:nvSpPr>
      <xdr:spPr>
        <a:xfrm>
          <a:off x="1200150" y="1085850"/>
          <a:ext cx="9525" cy="114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28</xdr:row>
      <xdr:rowOff>0</xdr:rowOff>
    </xdr:from>
    <xdr:to>
      <xdr:col>69</xdr:col>
      <xdr:colOff>0</xdr:colOff>
      <xdr:row>53</xdr:row>
      <xdr:rowOff>0</xdr:rowOff>
    </xdr:to>
    <xdr:sp>
      <xdr:nvSpPr>
        <xdr:cNvPr id="17" name="Rectangle 72"/>
        <xdr:cNvSpPr>
          <a:spLocks/>
        </xdr:cNvSpPr>
      </xdr:nvSpPr>
      <xdr:spPr>
        <a:xfrm>
          <a:off x="1257300" y="1600200"/>
          <a:ext cx="2686050" cy="1428750"/>
        </a:xfrm>
        <a:prstGeom prst="rect">
          <a:avLst/>
        </a:prstGeom>
        <a:noFill/>
        <a:ln w="38100" cmpd="dbl">
          <a:solidFill>
            <a:srgbClr val="80808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31</xdr:col>
      <xdr:colOff>0</xdr:colOff>
      <xdr:row>25</xdr:row>
      <xdr:rowOff>0</xdr:rowOff>
    </xdr:from>
    <xdr:ext cx="2057400" cy="171450"/>
    <xdr:sp>
      <xdr:nvSpPr>
        <xdr:cNvPr id="18" name="TextBox 73"/>
        <xdr:cNvSpPr txBox="1">
          <a:spLocks noChangeArrowheads="1"/>
        </xdr:cNvSpPr>
      </xdr:nvSpPr>
      <xdr:spPr>
        <a:xfrm>
          <a:off x="1771650" y="1428750"/>
          <a:ext cx="2057400" cy="171450"/>
        </a:xfrm>
        <a:prstGeom prst="rect">
          <a:avLst/>
        </a:prstGeom>
        <a:noFill/>
        <a:ln w="9525" cmpd="sng">
          <a:noFill/>
        </a:ln>
      </xdr:spPr>
      <xdr:txBody>
        <a:bodyPr vertOverflow="clip" wrap="square" anchor="ctr"/>
        <a:p>
          <a:pPr algn="l">
            <a:defRPr/>
          </a:pPr>
          <a:r>
            <a:rPr lang="en-US" cap="none" sz="900" b="0" i="1" u="none" baseline="0">
              <a:solidFill>
                <a:srgbClr val="333333"/>
              </a:solidFill>
              <a:latin typeface="Arial"/>
              <a:ea typeface="Arial"/>
              <a:cs typeface="Arial"/>
            </a:rPr>
            <a:t>Detailed calculation results (optional)</a:t>
          </a:r>
        </a:p>
      </xdr:txBody>
    </xdr:sp>
    <xdr:clientData/>
  </xdr:oneCellAnchor>
  <xdr:oneCellAnchor>
    <xdr:from>
      <xdr:col>24</xdr:col>
      <xdr:colOff>0</xdr:colOff>
      <xdr:row>15</xdr:row>
      <xdr:rowOff>0</xdr:rowOff>
    </xdr:from>
    <xdr:ext cx="800100" cy="228600"/>
    <xdr:sp>
      <xdr:nvSpPr>
        <xdr:cNvPr id="19" name="TextBox 74"/>
        <xdr:cNvSpPr txBox="1">
          <a:spLocks noChangeArrowheads="1"/>
        </xdr:cNvSpPr>
      </xdr:nvSpPr>
      <xdr:spPr>
        <a:xfrm>
          <a:off x="1371600" y="857250"/>
          <a:ext cx="800100" cy="228600"/>
        </a:xfrm>
        <a:prstGeom prst="rect">
          <a:avLst/>
        </a:prstGeom>
        <a:noFill/>
        <a:ln w="9525" cmpd="sng">
          <a:noFill/>
        </a:ln>
      </xdr:spPr>
      <xdr:txBody>
        <a:bodyPr vertOverflow="clip" wrap="square" anchor="ctr"/>
        <a:p>
          <a:pPr algn="l">
            <a:defRPr/>
          </a:pPr>
          <a:r>
            <a:rPr lang="en-US" cap="none" sz="1100" b="1" i="0" u="none" baseline="0">
              <a:solidFill>
                <a:srgbClr val="008000"/>
              </a:solidFill>
              <a:latin typeface="Arial"/>
              <a:ea typeface="Arial"/>
              <a:cs typeface="Arial"/>
            </a:rPr>
            <a:t>Data Entry</a:t>
          </a:r>
        </a:p>
      </xdr:txBody>
    </xdr:sp>
    <xdr:clientData/>
  </xdr:oneCellAnchor>
  <xdr:oneCellAnchor>
    <xdr:from>
      <xdr:col>24</xdr:col>
      <xdr:colOff>0</xdr:colOff>
      <xdr:row>21</xdr:row>
      <xdr:rowOff>0</xdr:rowOff>
    </xdr:from>
    <xdr:ext cx="2400300" cy="171450"/>
    <xdr:sp>
      <xdr:nvSpPr>
        <xdr:cNvPr id="20" name="TextBox 75"/>
        <xdr:cNvSpPr txBox="1">
          <a:spLocks noChangeArrowheads="1"/>
        </xdr:cNvSpPr>
      </xdr:nvSpPr>
      <xdr:spPr>
        <a:xfrm>
          <a:off x="1371600" y="1200150"/>
          <a:ext cx="2400300" cy="171450"/>
        </a:xfrm>
        <a:prstGeom prst="rect">
          <a:avLst/>
        </a:prstGeom>
        <a:noFill/>
        <a:ln w="9525" cmpd="sng">
          <a:noFill/>
        </a:ln>
      </xdr:spPr>
      <xdr:txBody>
        <a:bodyPr vertOverflow="clip" wrap="square" anchor="ctr"/>
        <a:p>
          <a:pPr algn="l">
            <a:defRPr/>
          </a:pPr>
          <a:r>
            <a:rPr lang="en-US" cap="none" sz="1100" b="1" i="0" u="none" baseline="0">
              <a:solidFill>
                <a:srgbClr val="008000"/>
              </a:solidFill>
              <a:latin typeface="Arial"/>
              <a:ea typeface="Arial"/>
              <a:cs typeface="Arial"/>
            </a:rPr>
            <a:t>Calculation and Summary of Results</a:t>
          </a:r>
        </a:p>
      </xdr:txBody>
    </xdr:sp>
    <xdr:clientData/>
  </xdr:oneCellAnchor>
  <xdr:oneCellAnchor>
    <xdr:from>
      <xdr:col>24</xdr:col>
      <xdr:colOff>0</xdr:colOff>
      <xdr:row>59</xdr:row>
      <xdr:rowOff>0</xdr:rowOff>
    </xdr:from>
    <xdr:ext cx="2514600" cy="171450"/>
    <xdr:sp>
      <xdr:nvSpPr>
        <xdr:cNvPr id="21" name="TextBox 76"/>
        <xdr:cNvSpPr txBox="1">
          <a:spLocks noChangeArrowheads="1"/>
        </xdr:cNvSpPr>
      </xdr:nvSpPr>
      <xdr:spPr>
        <a:xfrm>
          <a:off x="1371600" y="3371850"/>
          <a:ext cx="2514600" cy="171450"/>
        </a:xfrm>
        <a:prstGeom prst="rect">
          <a:avLst/>
        </a:prstGeom>
        <a:noFill/>
        <a:ln w="9525" cmpd="sng">
          <a:noFill/>
        </a:ln>
      </xdr:spPr>
      <xdr:txBody>
        <a:bodyPr vertOverflow="clip" wrap="square" anchor="ctr"/>
        <a:p>
          <a:pPr algn="l">
            <a:defRPr/>
          </a:pPr>
          <a:r>
            <a:rPr lang="en-US" cap="none" sz="900" b="1" i="0" u="none" baseline="0">
              <a:solidFill>
                <a:srgbClr val="008000"/>
              </a:solidFill>
              <a:latin typeface="Arial"/>
              <a:ea typeface="Arial"/>
              <a:cs typeface="Arial"/>
            </a:rPr>
            <a:t>Data Entry, Calculation, and Summary of Results</a:t>
          </a:r>
        </a:p>
      </xdr:txBody>
    </xdr:sp>
    <xdr:clientData/>
  </xdr:oneCellAnchor>
  <xdr:oneCellAnchor>
    <xdr:from>
      <xdr:col>18</xdr:col>
      <xdr:colOff>0</xdr:colOff>
      <xdr:row>10</xdr:row>
      <xdr:rowOff>0</xdr:rowOff>
    </xdr:from>
    <xdr:ext cx="3086100" cy="114300"/>
    <xdr:sp>
      <xdr:nvSpPr>
        <xdr:cNvPr id="22" name="TextBox 78"/>
        <xdr:cNvSpPr txBox="1">
          <a:spLocks noChangeArrowheads="1"/>
        </xdr:cNvSpPr>
      </xdr:nvSpPr>
      <xdr:spPr>
        <a:xfrm>
          <a:off x="1028700" y="571500"/>
          <a:ext cx="3086100" cy="114300"/>
        </a:xfrm>
        <a:prstGeom prst="rect">
          <a:avLst/>
        </a:prstGeom>
        <a:noFill/>
        <a:ln w="9525" cmpd="sng">
          <a:noFill/>
        </a:ln>
      </xdr:spPr>
      <xdr:txBody>
        <a:bodyPr vertOverflow="clip" wrap="square" anchor="ctr"/>
        <a:p>
          <a:pPr algn="ctr">
            <a:defRPr/>
          </a:pPr>
          <a:r>
            <a:rPr lang="en-US" cap="none" sz="700" b="0" i="0" u="none" baseline="0">
              <a:latin typeface="Arial"/>
              <a:ea typeface="Arial"/>
              <a:cs typeface="Arial"/>
            </a:rPr>
            <a:t>Note: Worksheets "A" and "B" are not linked; Select Button for desired evaluation</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6</xdr:row>
      <xdr:rowOff>0</xdr:rowOff>
    </xdr:from>
    <xdr:ext cx="1828800" cy="457200"/>
    <xdr:sp>
      <xdr:nvSpPr>
        <xdr:cNvPr id="1" name="TextBox 10"/>
        <xdr:cNvSpPr txBox="1">
          <a:spLocks noChangeArrowheads="1"/>
        </xdr:cNvSpPr>
      </xdr:nvSpPr>
      <xdr:spPr>
        <a:xfrm>
          <a:off x="971550" y="342900"/>
          <a:ext cx="1828800" cy="457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Select the particular soil quality criterion for which you want to calculate a protective TPH soil concentration:</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38100</xdr:colOff>
      <xdr:row>9</xdr:row>
      <xdr:rowOff>19050</xdr:rowOff>
    </xdr:from>
    <xdr:ext cx="2705100" cy="762000"/>
    <xdr:sp>
      <xdr:nvSpPr>
        <xdr:cNvPr id="1" name="Text Box 52"/>
        <xdr:cNvSpPr txBox="1">
          <a:spLocks noChangeArrowheads="1"/>
        </xdr:cNvSpPr>
      </xdr:nvSpPr>
      <xdr:spPr>
        <a:xfrm>
          <a:off x="7686675" y="1905000"/>
          <a:ext cx="2705100" cy="762000"/>
        </a:xfrm>
        <a:prstGeom prst="rect">
          <a:avLst/>
        </a:prstGeom>
        <a:noFill/>
        <a:ln w="9525" cmpd="sng">
          <a:noFill/>
        </a:ln>
      </xdr:spPr>
      <xdr:txBody>
        <a:bodyPr vertOverflow="clip" wrap="square" lIns="27432" tIns="22860" rIns="0" bIns="0"/>
        <a:p>
          <a:pPr algn="l">
            <a:defRPr/>
          </a:pPr>
          <a:r>
            <a:rPr lang="en-US" cap="none" sz="900" b="0" i="0" u="none" baseline="0">
              <a:solidFill>
                <a:srgbClr val="800080"/>
              </a:solidFill>
              <a:latin typeface="Arial"/>
              <a:ea typeface="Arial"/>
              <a:cs typeface="Arial"/>
            </a:rPr>
            <a:t>This tool allows the user to calculate a protective TPH ground water concentration based on various ground water quality criteria.  The Workbook uses the same composition ratio as for the measured data.
</a:t>
          </a:r>
        </a:p>
      </xdr:txBody>
    </xdr:sp>
    <xdr:clientData/>
  </xdr:oneCellAnchor>
  <xdr:oneCellAnchor>
    <xdr:from>
      <xdr:col>26</xdr:col>
      <xdr:colOff>47625</xdr:colOff>
      <xdr:row>35</xdr:row>
      <xdr:rowOff>142875</xdr:rowOff>
    </xdr:from>
    <xdr:ext cx="2781300" cy="714375"/>
    <xdr:sp>
      <xdr:nvSpPr>
        <xdr:cNvPr id="2" name="Text Box 54"/>
        <xdr:cNvSpPr txBox="1">
          <a:spLocks noChangeArrowheads="1"/>
        </xdr:cNvSpPr>
      </xdr:nvSpPr>
      <xdr:spPr>
        <a:xfrm>
          <a:off x="7696200" y="7229475"/>
          <a:ext cx="2781300" cy="7143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800080"/>
              </a:solidFill>
              <a:latin typeface="Arial"/>
              <a:ea typeface="Arial"/>
              <a:cs typeface="Arial"/>
            </a:rPr>
            <a:t>This tool allows the user to test whether a particular TPH soil concentration is protective of human health.  The Workbook uses the same composition ratio as for the measured data.</a:t>
          </a:r>
        </a:p>
      </xdr:txBody>
    </xdr:sp>
    <xdr:clientData/>
  </xdr:oneCellAnchor>
  <xdr:twoCellAnchor>
    <xdr:from>
      <xdr:col>18</xdr:col>
      <xdr:colOff>523875</xdr:colOff>
      <xdr:row>0</xdr:row>
      <xdr:rowOff>19050</xdr:rowOff>
    </xdr:from>
    <xdr:to>
      <xdr:col>21</xdr:col>
      <xdr:colOff>542925</xdr:colOff>
      <xdr:row>1</xdr:row>
      <xdr:rowOff>171450</xdr:rowOff>
    </xdr:to>
    <xdr:grpSp>
      <xdr:nvGrpSpPr>
        <xdr:cNvPr id="3" name="Group 51"/>
        <xdr:cNvGrpSpPr>
          <a:grpSpLocks/>
        </xdr:cNvGrpSpPr>
      </xdr:nvGrpSpPr>
      <xdr:grpSpPr>
        <a:xfrm>
          <a:off x="5505450" y="19050"/>
          <a:ext cx="2057400" cy="409575"/>
          <a:chOff x="1170" y="30"/>
          <a:chExt cx="278" cy="53"/>
        </a:xfrm>
        <a:solidFill>
          <a:srgbClr val="FFFFFF"/>
        </a:solidFill>
      </xdr:grpSpPr>
      <xdr:grpSp>
        <xdr:nvGrpSpPr>
          <xdr:cNvPr id="6" name="Group 37"/>
          <xdr:cNvGrpSpPr>
            <a:grpSpLocks/>
          </xdr:cNvGrpSpPr>
        </xdr:nvGrpSpPr>
        <xdr:grpSpPr>
          <a:xfrm>
            <a:off x="1170" y="31"/>
            <a:ext cx="85" cy="52"/>
            <a:chOff x="864" y="29"/>
            <a:chExt cx="66" cy="41"/>
          </a:xfrm>
          <a:solidFill>
            <a:srgbClr val="FFFFFF"/>
          </a:solidFill>
        </xdr:grpSpPr>
      </xdr:grp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6</xdr:row>
      <xdr:rowOff>0</xdr:rowOff>
    </xdr:from>
    <xdr:ext cx="1828800" cy="457200"/>
    <xdr:sp>
      <xdr:nvSpPr>
        <xdr:cNvPr id="1" name="TextBox 13"/>
        <xdr:cNvSpPr txBox="1">
          <a:spLocks noChangeArrowheads="1"/>
        </xdr:cNvSpPr>
      </xdr:nvSpPr>
      <xdr:spPr>
        <a:xfrm>
          <a:off x="971550" y="342900"/>
          <a:ext cx="1828800" cy="457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Select the particular soil quality criterion for which you want to calculate a protective TPH soil concentration:</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47625</xdr:colOff>
      <xdr:row>15</xdr:row>
      <xdr:rowOff>28575</xdr:rowOff>
    </xdr:from>
    <xdr:ext cx="2219325" cy="876300"/>
    <xdr:sp>
      <xdr:nvSpPr>
        <xdr:cNvPr id="1" name="Text Box 129"/>
        <xdr:cNvSpPr txBox="1">
          <a:spLocks noChangeArrowheads="1"/>
        </xdr:cNvSpPr>
      </xdr:nvSpPr>
      <xdr:spPr>
        <a:xfrm>
          <a:off x="6972300" y="2676525"/>
          <a:ext cx="2219325" cy="876300"/>
        </a:xfrm>
        <a:prstGeom prst="rect">
          <a:avLst/>
        </a:prstGeom>
        <a:noFill/>
        <a:ln w="9525" cmpd="sng">
          <a:noFill/>
        </a:ln>
      </xdr:spPr>
      <xdr:txBody>
        <a:bodyPr vertOverflow="clip" wrap="square" lIns="27432" tIns="22860" rIns="0" bIns="0"/>
        <a:p>
          <a:pPr algn="l">
            <a:defRPr/>
          </a:pPr>
          <a:r>
            <a:rPr lang="en-US" cap="none" sz="900" b="0" i="0" u="none" baseline="0">
              <a:solidFill>
                <a:srgbClr val="800080"/>
              </a:solidFill>
              <a:latin typeface="Arial"/>
              <a:ea typeface="Arial"/>
              <a:cs typeface="Arial"/>
            </a:rPr>
            <a:t>This tool allows the user to calculate protective TPH soil concentration based on various soil quality criteria.  The Workbook uses the same composition ratio as for the measured data.</a:t>
          </a:r>
        </a:p>
      </xdr:txBody>
    </xdr:sp>
    <xdr:clientData/>
  </xdr:oneCellAnchor>
  <xdr:oneCellAnchor>
    <xdr:from>
      <xdr:col>28</xdr:col>
      <xdr:colOff>66675</xdr:colOff>
      <xdr:row>29</xdr:row>
      <xdr:rowOff>28575</xdr:rowOff>
    </xdr:from>
    <xdr:ext cx="2200275" cy="790575"/>
    <xdr:sp>
      <xdr:nvSpPr>
        <xdr:cNvPr id="2" name="Text Box 130"/>
        <xdr:cNvSpPr txBox="1">
          <a:spLocks noChangeArrowheads="1"/>
        </xdr:cNvSpPr>
      </xdr:nvSpPr>
      <xdr:spPr>
        <a:xfrm>
          <a:off x="6991350" y="5105400"/>
          <a:ext cx="2200275" cy="790575"/>
        </a:xfrm>
        <a:prstGeom prst="rect">
          <a:avLst/>
        </a:prstGeom>
        <a:noFill/>
        <a:ln w="9525" cmpd="sng">
          <a:noFill/>
        </a:ln>
      </xdr:spPr>
      <xdr:txBody>
        <a:bodyPr vertOverflow="clip" wrap="square" lIns="27432" tIns="22860" rIns="0" bIns="0"/>
        <a:p>
          <a:pPr algn="l">
            <a:defRPr/>
          </a:pPr>
          <a:r>
            <a:rPr lang="en-US" cap="none" sz="900" b="0" i="0" u="none" baseline="0">
              <a:solidFill>
                <a:srgbClr val="800080"/>
              </a:solidFill>
              <a:latin typeface="Arial"/>
              <a:ea typeface="Arial"/>
              <a:cs typeface="Arial"/>
            </a:rPr>
            <a:t>This tool allows the user to test whether a particular TPH soil concentration is protective of human health.  The Workbook uses the same composition ratio as for the measured data.</a:t>
          </a:r>
        </a:p>
      </xdr:txBody>
    </xdr:sp>
    <xdr:clientData/>
  </xdr:oneCellAnchor>
  <xdr:twoCellAnchor>
    <xdr:from>
      <xdr:col>28</xdr:col>
      <xdr:colOff>419100</xdr:colOff>
      <xdr:row>1</xdr:row>
      <xdr:rowOff>152400</xdr:rowOff>
    </xdr:from>
    <xdr:to>
      <xdr:col>30</xdr:col>
      <xdr:colOff>619125</xdr:colOff>
      <xdr:row>6</xdr:row>
      <xdr:rowOff>28575</xdr:rowOff>
    </xdr:to>
    <xdr:grpSp>
      <xdr:nvGrpSpPr>
        <xdr:cNvPr id="3" name="Group 131"/>
        <xdr:cNvGrpSpPr>
          <a:grpSpLocks/>
        </xdr:cNvGrpSpPr>
      </xdr:nvGrpSpPr>
      <xdr:grpSpPr>
        <a:xfrm>
          <a:off x="7343775" y="361950"/>
          <a:ext cx="2514600" cy="581025"/>
          <a:chOff x="889" y="28"/>
          <a:chExt cx="292" cy="51"/>
        </a:xfrm>
        <a:solidFill>
          <a:srgbClr val="FFFFFF"/>
        </a:solidFill>
      </xdr:grpSpPr>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6</xdr:row>
      <xdr:rowOff>0</xdr:rowOff>
    </xdr:from>
    <xdr:ext cx="1828800" cy="400050"/>
    <xdr:sp>
      <xdr:nvSpPr>
        <xdr:cNvPr id="1" name="TextBox 14"/>
        <xdr:cNvSpPr txBox="1">
          <a:spLocks noChangeArrowheads="1"/>
        </xdr:cNvSpPr>
      </xdr:nvSpPr>
      <xdr:spPr>
        <a:xfrm>
          <a:off x="1028700" y="342900"/>
          <a:ext cx="1828800" cy="4000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Select the particular ground water quality criterion for which you want to calculate a protective TPH ground water conc:</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13</xdr:row>
      <xdr:rowOff>0</xdr:rowOff>
    </xdr:from>
    <xdr:to>
      <xdr:col>21</xdr:col>
      <xdr:colOff>600075</xdr:colOff>
      <xdr:row>54</xdr:row>
      <xdr:rowOff>95250</xdr:rowOff>
    </xdr:to>
    <xdr:sp fLocksText="0">
      <xdr:nvSpPr>
        <xdr:cNvPr id="1" name="Text Box 54"/>
        <xdr:cNvSpPr txBox="1">
          <a:spLocks noChangeArrowheads="1"/>
        </xdr:cNvSpPr>
      </xdr:nvSpPr>
      <xdr:spPr>
        <a:xfrm>
          <a:off x="3486150" y="2295525"/>
          <a:ext cx="4191000" cy="6867525"/>
        </a:xfrm>
        <a:prstGeom prst="rect">
          <a:avLst/>
        </a:prstGeom>
        <a:solidFill>
          <a:srgbClr val="FFFFFF"/>
        </a:solidFill>
        <a:ln w="19050" cmpd="sng">
          <a:solidFill>
            <a:srgbClr val="000000"/>
          </a:solidFill>
          <a:prstDash val="sysDash"/>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REMARK:
</a:t>
          </a:r>
          <a:r>
            <a:rPr lang="en-US" cap="none" sz="1000" b="0" i="0" u="none" baseline="0">
              <a:solidFill>
                <a:srgbClr val="000000"/>
              </a:solidFill>
              <a:latin typeface="Arial"/>
              <a:ea typeface="Arial"/>
              <a:cs typeface="Arial"/>
            </a:rPr>
            <a:t>Enter site-specific information here……..</a:t>
          </a:r>
        </a:p>
      </xdr:txBody>
    </xdr:sp>
    <xdr:clientData fLocksWithSheet="0"/>
  </xdr:twoCellAnchor>
  <xdr:twoCellAnchor>
    <xdr:from>
      <xdr:col>33</xdr:col>
      <xdr:colOff>219075</xdr:colOff>
      <xdr:row>2</xdr:row>
      <xdr:rowOff>19050</xdr:rowOff>
    </xdr:from>
    <xdr:to>
      <xdr:col>35</xdr:col>
      <xdr:colOff>495300</xdr:colOff>
      <xdr:row>4</xdr:row>
      <xdr:rowOff>85725</xdr:rowOff>
    </xdr:to>
    <xdr:grpSp>
      <xdr:nvGrpSpPr>
        <xdr:cNvPr id="2" name="Group 87"/>
        <xdr:cNvGrpSpPr>
          <a:grpSpLocks/>
        </xdr:cNvGrpSpPr>
      </xdr:nvGrpSpPr>
      <xdr:grpSpPr>
        <a:xfrm>
          <a:off x="14163675" y="485775"/>
          <a:ext cx="1533525" cy="390525"/>
          <a:chOff x="2065" y="47"/>
          <a:chExt cx="277" cy="65"/>
        </a:xfrm>
        <a:solidFill>
          <a:srgbClr val="FFFFFF"/>
        </a:solidFill>
      </xdr:grpSpPr>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0</xdr:colOff>
      <xdr:row>15</xdr:row>
      <xdr:rowOff>38100</xdr:rowOff>
    </xdr:from>
    <xdr:ext cx="2343150" cy="781050"/>
    <xdr:sp>
      <xdr:nvSpPr>
        <xdr:cNvPr id="1" name="Text Box 78"/>
        <xdr:cNvSpPr txBox="1">
          <a:spLocks noChangeArrowheads="1"/>
        </xdr:cNvSpPr>
      </xdr:nvSpPr>
      <xdr:spPr>
        <a:xfrm>
          <a:off x="6162675" y="2724150"/>
          <a:ext cx="2343150" cy="781050"/>
        </a:xfrm>
        <a:prstGeom prst="rect">
          <a:avLst/>
        </a:prstGeom>
        <a:noFill/>
        <a:ln w="9525" cmpd="sng">
          <a:noFill/>
        </a:ln>
      </xdr:spPr>
      <xdr:txBody>
        <a:bodyPr vertOverflow="clip" wrap="square" lIns="27432" tIns="22860" rIns="0" bIns="0"/>
        <a:p>
          <a:pPr algn="l">
            <a:defRPr/>
          </a:pPr>
          <a:r>
            <a:rPr lang="en-US" cap="none" sz="900" b="0" i="0" u="none" baseline="0">
              <a:solidFill>
                <a:srgbClr val="800080"/>
              </a:solidFill>
              <a:latin typeface="Arial"/>
              <a:ea typeface="Arial"/>
              <a:cs typeface="Arial"/>
            </a:rPr>
            <a:t>This tool allows the user to calculate protective TPH soil concentration based on various soil quality criteria.  The Workbook uses the same composition ratio as for the measured data.</a:t>
          </a:r>
        </a:p>
      </xdr:txBody>
    </xdr:sp>
    <xdr:clientData/>
  </xdr:oneCellAnchor>
  <xdr:oneCellAnchor>
    <xdr:from>
      <xdr:col>28</xdr:col>
      <xdr:colOff>47625</xdr:colOff>
      <xdr:row>28</xdr:row>
      <xdr:rowOff>0</xdr:rowOff>
    </xdr:from>
    <xdr:ext cx="2219325" cy="981075"/>
    <xdr:sp>
      <xdr:nvSpPr>
        <xdr:cNvPr id="2" name="Text Box 80"/>
        <xdr:cNvSpPr txBox="1">
          <a:spLocks noChangeArrowheads="1"/>
        </xdr:cNvSpPr>
      </xdr:nvSpPr>
      <xdr:spPr>
        <a:xfrm>
          <a:off x="6210300" y="5067300"/>
          <a:ext cx="2219325" cy="981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800080"/>
              </a:solidFill>
              <a:latin typeface="Arial"/>
              <a:ea typeface="Arial"/>
              <a:cs typeface="Arial"/>
            </a:rPr>
            <a:t>This tool allows the user to test whether a particular TPH soil concentration is protective of human health.  The Workbook uses the same composition ratio as for the measured data.</a:t>
          </a:r>
        </a:p>
      </xdr:txBody>
    </xdr:sp>
    <xdr:clientData/>
  </xdr:oneCellAnchor>
  <xdr:twoCellAnchor>
    <xdr:from>
      <xdr:col>28</xdr:col>
      <xdr:colOff>409575</xdr:colOff>
      <xdr:row>1</xdr:row>
      <xdr:rowOff>171450</xdr:rowOff>
    </xdr:from>
    <xdr:to>
      <xdr:col>30</xdr:col>
      <xdr:colOff>238125</xdr:colOff>
      <xdr:row>5</xdr:row>
      <xdr:rowOff>9525</xdr:rowOff>
    </xdr:to>
    <xdr:grpSp>
      <xdr:nvGrpSpPr>
        <xdr:cNvPr id="3" name="Group 84"/>
        <xdr:cNvGrpSpPr>
          <a:grpSpLocks/>
        </xdr:cNvGrpSpPr>
      </xdr:nvGrpSpPr>
      <xdr:grpSpPr>
        <a:xfrm>
          <a:off x="6572250" y="390525"/>
          <a:ext cx="2209800" cy="523875"/>
          <a:chOff x="889" y="51"/>
          <a:chExt cx="298" cy="70"/>
        </a:xfrm>
        <a:solidFill>
          <a:srgbClr val="FFFFFF"/>
        </a:solidFill>
      </xdr:grpSpPr>
      <xdr:grpSp>
        <xdr:nvGrpSpPr>
          <xdr:cNvPr id="6" name="Group 10"/>
          <xdr:cNvGrpSpPr>
            <a:grpSpLocks/>
          </xdr:cNvGrpSpPr>
        </xdr:nvGrpSpPr>
        <xdr:grpSpPr>
          <a:xfrm>
            <a:off x="889" y="51"/>
            <a:ext cx="81" cy="70"/>
            <a:chOff x="864" y="29"/>
            <a:chExt cx="66" cy="41"/>
          </a:xfrm>
          <a:solidFill>
            <a:srgbClr val="FFFFFF"/>
          </a:solidFill>
        </xdr:grpSpPr>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3543300" cy="1600200"/>
    <xdr:sp>
      <xdr:nvSpPr>
        <xdr:cNvPr id="1" name="TextBox 3"/>
        <xdr:cNvSpPr txBox="1">
          <a:spLocks noChangeArrowheads="1"/>
        </xdr:cNvSpPr>
      </xdr:nvSpPr>
      <xdr:spPr>
        <a:xfrm>
          <a:off x="800100" y="400050"/>
          <a:ext cx="3543300" cy="1600200"/>
        </a:xfrm>
        <a:prstGeom prst="rect">
          <a:avLst/>
        </a:prstGeom>
        <a:noFill/>
        <a:ln w="9525" cmpd="sng">
          <a:noFill/>
        </a:ln>
      </xdr:spPr>
      <xdr:txBody>
        <a:bodyPr vertOverflow="clip" wrap="square" anchor="ctr"/>
        <a:p>
          <a:pPr algn="l">
            <a:defRPr/>
          </a:pPr>
          <a:r>
            <a:rPr lang="en-US" cap="none" sz="1000" b="0" i="0" u="none" baseline="0">
              <a:solidFill>
                <a:srgbClr val="800000"/>
              </a:solidFill>
              <a:latin typeface="Arial"/>
              <a:ea typeface="Arial"/>
              <a:cs typeface="Arial"/>
            </a:rPr>
            <a:t>CAUTION: The requirements and procedures for establishing soil cleanup levels are set forth in WAC 173-340-740 (unrestricted land use) and in WAC 173-340-745 (industrial land use).  The use of this Workbook is not sufficient to establish soil cleanup levels under the regulation.  The soil cleanup levels derived using this Workbook do not account for terrestrial ecological impacts.  Other exposure pathways (e.g., protection of air quality) may also need to be evaluated on a site-specific basis.  Furthermore, the soil and ground water cleanup levels derived using this Workbook do not account for potential surface water impacts.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6</xdr:row>
      <xdr:rowOff>0</xdr:rowOff>
    </xdr:from>
    <xdr:ext cx="1600200" cy="1943100"/>
    <xdr:sp>
      <xdr:nvSpPr>
        <xdr:cNvPr id="1" name="TextBox 15"/>
        <xdr:cNvSpPr txBox="1">
          <a:spLocks noChangeArrowheads="1"/>
        </xdr:cNvSpPr>
      </xdr:nvSpPr>
      <xdr:spPr>
        <a:xfrm>
          <a:off x="457200" y="342900"/>
          <a:ext cx="1600200" cy="1943100"/>
        </a:xfrm>
        <a:prstGeom prst="rect">
          <a:avLst/>
        </a:prstGeom>
        <a:noFill/>
        <a:ln w="9525" cmpd="sng">
          <a:noFill/>
        </a:ln>
      </xdr:spPr>
      <xdr:txBody>
        <a:bodyPr vertOverflow="clip" wrap="square"/>
        <a:p>
          <a:pPr algn="l">
            <a:defRPr/>
          </a:pPr>
          <a:r>
            <a:rPr lang="en-US" cap="none" sz="800" b="0" i="0" u="sng" baseline="0">
              <a:latin typeface="Arial"/>
              <a:ea typeface="Arial"/>
              <a:cs typeface="Arial"/>
            </a:rPr>
            <a:t>Calculate Protective Condition for Method B Potable Ground Water Quality (Human Health):
</a:t>
          </a:r>
          <a:r>
            <a:rPr lang="en-US" cap="none" sz="800" b="0" i="0" u="none" baseline="0">
              <a:latin typeface="Arial"/>
              <a:ea typeface="Arial"/>
              <a:cs typeface="Arial"/>
            </a:rPr>
            <a:t>This tool allows the user to calculate a protective TPH soil concentration based on various potable ground water quality criteria.  The Workbook uses the same composition ratio as for the measured data and the same hydrogeological data previously entered by the user.  
Select the particular potable ground water quality criterion for which you want to calculate a protective TPH soil concentration:</a:t>
          </a:r>
        </a:p>
      </xdr:txBody>
    </xdr:sp>
    <xdr:clientData/>
  </xdr:oneCellAnchor>
  <xdr:oneCellAnchor>
    <xdr:from>
      <xdr:col>67</xdr:col>
      <xdr:colOff>0</xdr:colOff>
      <xdr:row>6</xdr:row>
      <xdr:rowOff>0</xdr:rowOff>
    </xdr:from>
    <xdr:ext cx="1543050" cy="2743200"/>
    <xdr:sp>
      <xdr:nvSpPr>
        <xdr:cNvPr id="2" name="TextBox 16"/>
        <xdr:cNvSpPr txBox="1">
          <a:spLocks noChangeArrowheads="1"/>
        </xdr:cNvSpPr>
      </xdr:nvSpPr>
      <xdr:spPr>
        <a:xfrm>
          <a:off x="3829050" y="342900"/>
          <a:ext cx="1543050" cy="2743200"/>
        </a:xfrm>
        <a:prstGeom prst="rect">
          <a:avLst/>
        </a:prstGeom>
        <a:noFill/>
        <a:ln w="9525" cmpd="sng">
          <a:noFill/>
        </a:ln>
      </xdr:spPr>
      <xdr:txBody>
        <a:bodyPr vertOverflow="clip" wrap="square"/>
        <a:p>
          <a:pPr algn="l">
            <a:defRPr/>
          </a:pPr>
          <a:r>
            <a:rPr lang="en-US" cap="none" sz="800" b="0" i="0" u="sng" baseline="0">
              <a:latin typeface="Arial"/>
              <a:ea typeface="Arial"/>
              <a:cs typeface="Arial"/>
            </a:rPr>
            <a:t>Calculate Protective Soil Condition for Adjusted Site-specific TPH Ground Water Cleanup Level previously entered:</a:t>
          </a:r>
          <a:r>
            <a:rPr lang="en-US" cap="none" sz="800" b="0" i="0" u="none" baseline="0">
              <a:latin typeface="Arial"/>
              <a:ea typeface="Arial"/>
              <a:cs typeface="Arial"/>
            </a:rPr>
            <a:t>
This tool allows the user to calculate a protective TPH soil concentration based on the site-specific Target TPH ground water concentration that is previously adjusted and entered by the user.
This target TPH ground water concentration could be the value that is protective of surface water quality or non-potable ground water quality, etc.
The Worksheet uses the same composition ratio as for the measured data and the same hydrogeological data previously entered by the user.</a:t>
          </a:r>
        </a:p>
      </xdr:txBody>
    </xdr:sp>
    <xdr:clientData/>
  </xdr:oneCellAnchor>
  <xdr:oneCellAnchor>
    <xdr:from>
      <xdr:col>38</xdr:col>
      <xdr:colOff>0</xdr:colOff>
      <xdr:row>6</xdr:row>
      <xdr:rowOff>0</xdr:rowOff>
    </xdr:from>
    <xdr:ext cx="1543050" cy="1200150"/>
    <xdr:sp>
      <xdr:nvSpPr>
        <xdr:cNvPr id="3" name="TextBox 19"/>
        <xdr:cNvSpPr txBox="1">
          <a:spLocks noChangeArrowheads="1"/>
        </xdr:cNvSpPr>
      </xdr:nvSpPr>
      <xdr:spPr>
        <a:xfrm>
          <a:off x="2171700" y="342900"/>
          <a:ext cx="1543050" cy="1200150"/>
        </a:xfrm>
        <a:prstGeom prst="rect">
          <a:avLst/>
        </a:prstGeom>
        <a:noFill/>
        <a:ln w="9525" cmpd="sng">
          <a:noFill/>
        </a:ln>
      </xdr:spPr>
      <xdr:txBody>
        <a:bodyPr vertOverflow="clip" wrap="square"/>
        <a:p>
          <a:pPr algn="l">
            <a:defRPr/>
          </a:pPr>
          <a:r>
            <a:rPr lang="en-US" cap="none" sz="800" b="0" i="0" u="sng" baseline="0">
              <a:latin typeface="Arial"/>
              <a:ea typeface="Arial"/>
              <a:cs typeface="Arial"/>
            </a:rPr>
            <a:t>Test Adjusted Condition:</a:t>
          </a:r>
          <a:r>
            <a:rPr lang="en-US" cap="none" sz="800" b="0" i="0" u="none" baseline="0">
              <a:latin typeface="Arial"/>
              <a:ea typeface="Arial"/>
              <a:cs typeface="Arial"/>
            </a:rPr>
            <a:t>
This tool allows the user to test whether a particular TPH soil concentration is protective of ground water quality.  The Workbook uses the same composition ratio as for the measured data and the same hydrogeological data previously entered by the user.</a:t>
          </a:r>
        </a:p>
      </xdr:txBody>
    </xdr:sp>
    <xdr:clientData/>
  </xdr:oneCellAnchor>
  <xdr:oneCellAnchor>
    <xdr:from>
      <xdr:col>39</xdr:col>
      <xdr:colOff>0</xdr:colOff>
      <xdr:row>27</xdr:row>
      <xdr:rowOff>0</xdr:rowOff>
    </xdr:from>
    <xdr:ext cx="1371600" cy="342900"/>
    <xdr:sp>
      <xdr:nvSpPr>
        <xdr:cNvPr id="4" name="TextBox 26"/>
        <xdr:cNvSpPr txBox="1">
          <a:spLocks noChangeArrowheads="1"/>
        </xdr:cNvSpPr>
      </xdr:nvSpPr>
      <xdr:spPr>
        <a:xfrm>
          <a:off x="2228850" y="1543050"/>
          <a:ext cx="1371600" cy="342900"/>
        </a:xfrm>
        <a:prstGeom prst="rect">
          <a:avLst/>
        </a:prstGeom>
        <a:noFill/>
        <a:ln w="9525" cmpd="sng">
          <a:noFill/>
        </a:ln>
      </xdr:spPr>
      <xdr:txBody>
        <a:bodyPr vertOverflow="clip" wrap="square"/>
        <a:p>
          <a:pPr algn="l">
            <a:defRPr/>
          </a:pPr>
          <a:r>
            <a:rPr lang="en-US" cap="none" sz="750" b="0" i="0" u="none" baseline="0">
              <a:latin typeface="Arial"/>
              <a:ea typeface="Arial"/>
              <a:cs typeface="Arial"/>
            </a:rPr>
            <a:t>1. For a complete calculation with "Solver Function", click the button right below.</a:t>
          </a:r>
        </a:p>
      </xdr:txBody>
    </xdr:sp>
    <xdr:clientData/>
  </xdr:oneCellAnchor>
  <xdr:oneCellAnchor>
    <xdr:from>
      <xdr:col>39</xdr:col>
      <xdr:colOff>0</xdr:colOff>
      <xdr:row>39</xdr:row>
      <xdr:rowOff>0</xdr:rowOff>
    </xdr:from>
    <xdr:ext cx="1371600" cy="914400"/>
    <xdr:sp>
      <xdr:nvSpPr>
        <xdr:cNvPr id="5" name="TextBox 27"/>
        <xdr:cNvSpPr txBox="1">
          <a:spLocks noChangeArrowheads="1"/>
        </xdr:cNvSpPr>
      </xdr:nvSpPr>
      <xdr:spPr>
        <a:xfrm>
          <a:off x="2228850" y="2228850"/>
          <a:ext cx="1371600" cy="914400"/>
        </a:xfrm>
        <a:prstGeom prst="rect">
          <a:avLst/>
        </a:prstGeom>
        <a:noFill/>
        <a:ln w="9525" cmpd="sng">
          <a:noFill/>
        </a:ln>
      </xdr:spPr>
      <xdr:txBody>
        <a:bodyPr vertOverflow="clip" wrap="square"/>
        <a:p>
          <a:pPr algn="l">
            <a:defRPr/>
          </a:pPr>
          <a:r>
            <a:rPr lang="en-US" cap="none" sz="750" b="0" i="0" u="none" baseline="0">
              <a:latin typeface="Arial"/>
              <a:ea typeface="Arial"/>
              <a:cs typeface="Arial"/>
            </a:rPr>
            <a:t>2. If the button right above does not work, then use "Alternative" right below.  For an alternative calculation with  "Goal Seek" function, the volume of NAPL formed is not considered.  The calculation eror is within 0.1% with this alternative when comparing the complete solution.</a:t>
          </a:r>
        </a:p>
      </xdr:txBody>
    </xdr:sp>
    <xdr:clientData/>
  </xdr:oneCellAnchor>
  <xdr:twoCellAnchor>
    <xdr:from>
      <xdr:col>8</xdr:col>
      <xdr:colOff>0</xdr:colOff>
      <xdr:row>6</xdr:row>
      <xdr:rowOff>0</xdr:rowOff>
    </xdr:from>
    <xdr:to>
      <xdr:col>36</xdr:col>
      <xdr:colOff>0</xdr:colOff>
      <xdr:row>62</xdr:row>
      <xdr:rowOff>0</xdr:rowOff>
    </xdr:to>
    <xdr:sp>
      <xdr:nvSpPr>
        <xdr:cNvPr id="6" name="Rectangle 28"/>
        <xdr:cNvSpPr>
          <a:spLocks/>
        </xdr:cNvSpPr>
      </xdr:nvSpPr>
      <xdr:spPr>
        <a:xfrm>
          <a:off x="457200" y="342900"/>
          <a:ext cx="1600200" cy="3200400"/>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0</xdr:colOff>
      <xdr:row>6</xdr:row>
      <xdr:rowOff>0</xdr:rowOff>
    </xdr:from>
    <xdr:to>
      <xdr:col>94</xdr:col>
      <xdr:colOff>0</xdr:colOff>
      <xdr:row>62</xdr:row>
      <xdr:rowOff>0</xdr:rowOff>
    </xdr:to>
    <xdr:sp>
      <xdr:nvSpPr>
        <xdr:cNvPr id="7" name="Rectangle 23"/>
        <xdr:cNvSpPr>
          <a:spLocks/>
        </xdr:cNvSpPr>
      </xdr:nvSpPr>
      <xdr:spPr>
        <a:xfrm>
          <a:off x="3771900" y="342900"/>
          <a:ext cx="1600200" cy="3200400"/>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xdr:row>
      <xdr:rowOff>0</xdr:rowOff>
    </xdr:from>
    <xdr:to>
      <xdr:col>65</xdr:col>
      <xdr:colOff>0</xdr:colOff>
      <xdr:row>62</xdr:row>
      <xdr:rowOff>0</xdr:rowOff>
    </xdr:to>
    <xdr:sp>
      <xdr:nvSpPr>
        <xdr:cNvPr id="8" name="Rectangle 25"/>
        <xdr:cNvSpPr>
          <a:spLocks/>
        </xdr:cNvSpPr>
      </xdr:nvSpPr>
      <xdr:spPr>
        <a:xfrm>
          <a:off x="2114550" y="342900"/>
          <a:ext cx="1600200" cy="3200400"/>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27</xdr:row>
      <xdr:rowOff>0</xdr:rowOff>
    </xdr:from>
    <xdr:to>
      <xdr:col>64</xdr:col>
      <xdr:colOff>0</xdr:colOff>
      <xdr:row>37</xdr:row>
      <xdr:rowOff>0</xdr:rowOff>
    </xdr:to>
    <xdr:sp>
      <xdr:nvSpPr>
        <xdr:cNvPr id="9" name="Rectangle 31"/>
        <xdr:cNvSpPr>
          <a:spLocks/>
        </xdr:cNvSpPr>
      </xdr:nvSpPr>
      <xdr:spPr>
        <a:xfrm>
          <a:off x="2171700" y="1543050"/>
          <a:ext cx="1485900" cy="571500"/>
        </a:xfrm>
        <a:prstGeom prst="rect">
          <a:avLst/>
        </a:prstGeom>
        <a:solidFill>
          <a:srgbClr val="FFFFFF">
            <a:alpha val="0"/>
          </a:srgbClr>
        </a:solid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39</xdr:row>
      <xdr:rowOff>0</xdr:rowOff>
    </xdr:from>
    <xdr:to>
      <xdr:col>64</xdr:col>
      <xdr:colOff>0</xdr:colOff>
      <xdr:row>59</xdr:row>
      <xdr:rowOff>0</xdr:rowOff>
    </xdr:to>
    <xdr:sp>
      <xdr:nvSpPr>
        <xdr:cNvPr id="10" name="Rectangle 32"/>
        <xdr:cNvSpPr>
          <a:spLocks/>
        </xdr:cNvSpPr>
      </xdr:nvSpPr>
      <xdr:spPr>
        <a:xfrm>
          <a:off x="2171700" y="2228850"/>
          <a:ext cx="1485900" cy="1143000"/>
        </a:xfrm>
        <a:prstGeom prst="rect">
          <a:avLst/>
        </a:prstGeom>
        <a:solidFill>
          <a:srgbClr val="FFFFFF">
            <a:alpha val="0"/>
          </a:srgbClr>
        </a:solidFill>
        <a:ln w="158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247650</xdr:colOff>
      <xdr:row>0</xdr:row>
      <xdr:rowOff>0</xdr:rowOff>
    </xdr:from>
    <xdr:to>
      <xdr:col>21</xdr:col>
      <xdr:colOff>923925</xdr:colOff>
      <xdr:row>2</xdr:row>
      <xdr:rowOff>114300</xdr:rowOff>
    </xdr:to>
    <xdr:grpSp>
      <xdr:nvGrpSpPr>
        <xdr:cNvPr id="1" name="Group 89"/>
        <xdr:cNvGrpSpPr>
          <a:grpSpLocks/>
        </xdr:cNvGrpSpPr>
      </xdr:nvGrpSpPr>
      <xdr:grpSpPr>
        <a:xfrm>
          <a:off x="8791575" y="0"/>
          <a:ext cx="2219325" cy="590550"/>
          <a:chOff x="1393" y="38"/>
          <a:chExt cx="279" cy="52"/>
        </a:xfrm>
        <a:solidFill>
          <a:srgbClr val="FFFFFF"/>
        </a:solidFill>
      </xdr:grpSpPr>
      <xdr:grpSp>
        <xdr:nvGrpSpPr>
          <xdr:cNvPr id="4" name="Group 69"/>
          <xdr:cNvGrpSpPr>
            <a:grpSpLocks/>
          </xdr:cNvGrpSpPr>
        </xdr:nvGrpSpPr>
        <xdr:grpSpPr>
          <a:xfrm>
            <a:off x="1393" y="40"/>
            <a:ext cx="82" cy="50"/>
            <a:chOff x="864" y="29"/>
            <a:chExt cx="66" cy="41"/>
          </a:xfrm>
          <a:solidFill>
            <a:srgbClr val="FFFFFF"/>
          </a:solidFill>
        </xdr:grpSpPr>
      </xdr:grp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1552575</xdr:colOff>
      <xdr:row>1</xdr:row>
      <xdr:rowOff>76200</xdr:rowOff>
    </xdr:from>
    <xdr:to>
      <xdr:col>10</xdr:col>
      <xdr:colOff>1123950</xdr:colOff>
      <xdr:row>5</xdr:row>
      <xdr:rowOff>19050</xdr:rowOff>
    </xdr:to>
    <xdr:grpSp>
      <xdr:nvGrpSpPr>
        <xdr:cNvPr id="1" name="Group 107"/>
        <xdr:cNvGrpSpPr>
          <a:grpSpLocks/>
        </xdr:cNvGrpSpPr>
      </xdr:nvGrpSpPr>
      <xdr:grpSpPr>
        <a:xfrm>
          <a:off x="11334750" y="304800"/>
          <a:ext cx="2209800" cy="647700"/>
          <a:chOff x="875" y="45"/>
          <a:chExt cx="277" cy="72"/>
        </a:xfrm>
        <a:solidFill>
          <a:srgbClr val="FFFFFF"/>
        </a:solidFill>
      </xdr:grpSpPr>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xdr:colOff>
      <xdr:row>31</xdr:row>
      <xdr:rowOff>76200</xdr:rowOff>
    </xdr:from>
    <xdr:ext cx="4686300" cy="1514475"/>
    <xdr:sp>
      <xdr:nvSpPr>
        <xdr:cNvPr id="1" name="Text Box 18"/>
        <xdr:cNvSpPr txBox="1">
          <a:spLocks noChangeArrowheads="1"/>
        </xdr:cNvSpPr>
      </xdr:nvSpPr>
      <xdr:spPr>
        <a:xfrm>
          <a:off x="6715125" y="6362700"/>
          <a:ext cx="4686300" cy="1514475"/>
        </a:xfrm>
        <a:prstGeom prst="rect">
          <a:avLst/>
        </a:prstGeom>
        <a:no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Note: Source of Default Air Background Level:
</a:t>
          </a:r>
          <a:r>
            <a:rPr lang="en-US" cap="none" sz="1000" b="0" i="0" u="none" baseline="0">
              <a:solidFill>
                <a:srgbClr val="000000"/>
              </a:solidFill>
              <a:latin typeface="Arial"/>
              <a:ea typeface="Arial"/>
              <a:cs typeface="Arial"/>
            </a:rPr>
            <a:t>"Characterizing risk posed by Petroleum Contaminated Sites: Implementation of MADEP VPH/EPH Approach", *Petroleum Equivalent Carbon Fractions: State of  Massachusetts, Department of Environmental Protection, 10/21/2002,  Policy # WSC02-411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*Benzene and n-Hexane: Washington State Department of Ecology, 1997,  "Memorandum: Washington State Air Toxic Monitoring Data Documentation"</a:t>
          </a:r>
        </a:p>
      </xdr:txBody>
    </xdr:sp>
    <xdr:clientData/>
  </xdr:oneCellAnchor>
  <xdr:oneCellAnchor>
    <xdr:from>
      <xdr:col>14</xdr:col>
      <xdr:colOff>19050</xdr:colOff>
      <xdr:row>17</xdr:row>
      <xdr:rowOff>57150</xdr:rowOff>
    </xdr:from>
    <xdr:ext cx="3495675" cy="895350"/>
    <xdr:sp>
      <xdr:nvSpPr>
        <xdr:cNvPr id="2" name="Text Box 32"/>
        <xdr:cNvSpPr txBox="1">
          <a:spLocks noChangeArrowheads="1"/>
        </xdr:cNvSpPr>
      </xdr:nvSpPr>
      <xdr:spPr>
        <a:xfrm>
          <a:off x="6753225" y="3543300"/>
          <a:ext cx="3495675" cy="8953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This tool allows the user to test whether a particular TPH soil concentration is protective of indoor air quality.  The Workbook uses the same composition ratio as for the measured data and the same hydrogeological data and vapor attenuation factor previously entered by the user.</a:t>
          </a:r>
        </a:p>
      </xdr:txBody>
    </xdr:sp>
    <xdr:clientData/>
  </xdr:oneCellAnchor>
  <xdr:twoCellAnchor>
    <xdr:from>
      <xdr:col>14</xdr:col>
      <xdr:colOff>38100</xdr:colOff>
      <xdr:row>2</xdr:row>
      <xdr:rowOff>19050</xdr:rowOff>
    </xdr:from>
    <xdr:to>
      <xdr:col>15</xdr:col>
      <xdr:colOff>285750</xdr:colOff>
      <xdr:row>5</xdr:row>
      <xdr:rowOff>47625</xdr:rowOff>
    </xdr:to>
    <xdr:grpSp>
      <xdr:nvGrpSpPr>
        <xdr:cNvPr id="3" name="Group 34"/>
        <xdr:cNvGrpSpPr>
          <a:grpSpLocks/>
        </xdr:cNvGrpSpPr>
      </xdr:nvGrpSpPr>
      <xdr:grpSpPr>
        <a:xfrm>
          <a:off x="6772275" y="495300"/>
          <a:ext cx="2781300" cy="590550"/>
          <a:chOff x="902" y="11"/>
          <a:chExt cx="306" cy="94"/>
        </a:xfrm>
        <a:solidFill>
          <a:srgbClr val="FFFFFF"/>
        </a:solidFill>
      </xdr:grpSpPr>
      <xdr:grpSp>
        <xdr:nvGrpSpPr>
          <xdr:cNvPr id="4" name="Group 24"/>
          <xdr:cNvGrpSpPr>
            <a:grpSpLocks/>
          </xdr:cNvGrpSpPr>
        </xdr:nvGrpSpPr>
        <xdr:grpSpPr>
          <a:xfrm>
            <a:off x="996" y="11"/>
            <a:ext cx="212" cy="94"/>
            <a:chOff x="935" y="36"/>
            <a:chExt cx="175" cy="41"/>
          </a:xfrm>
          <a:solidFill>
            <a:srgbClr val="FFFFFF"/>
          </a:solidFill>
        </xdr:grpSpPr>
      </xdr:grp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47625</xdr:rowOff>
    </xdr:from>
    <xdr:to>
      <xdr:col>11</xdr:col>
      <xdr:colOff>371475</xdr:colOff>
      <xdr:row>30</xdr:row>
      <xdr:rowOff>47625</xdr:rowOff>
    </xdr:to>
    <xdr:graphicFrame>
      <xdr:nvGraphicFramePr>
        <xdr:cNvPr id="1" name="Chart 1031"/>
        <xdr:cNvGraphicFramePr/>
      </xdr:nvGraphicFramePr>
      <xdr:xfrm>
        <a:off x="19050" y="2124075"/>
        <a:ext cx="9248775" cy="3257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74</xdr:row>
      <xdr:rowOff>114300</xdr:rowOff>
    </xdr:from>
    <xdr:to>
      <xdr:col>12</xdr:col>
      <xdr:colOff>0</xdr:colOff>
      <xdr:row>108</xdr:row>
      <xdr:rowOff>104775</xdr:rowOff>
    </xdr:to>
    <xdr:graphicFrame>
      <xdr:nvGraphicFramePr>
        <xdr:cNvPr id="2" name="Chart 1032"/>
        <xdr:cNvGraphicFramePr/>
      </xdr:nvGraphicFramePr>
      <xdr:xfrm>
        <a:off x="19050" y="12592050"/>
        <a:ext cx="9267825" cy="5495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109</xdr:row>
      <xdr:rowOff>85725</xdr:rowOff>
    </xdr:from>
    <xdr:to>
      <xdr:col>12</xdr:col>
      <xdr:colOff>0</xdr:colOff>
      <xdr:row>131</xdr:row>
      <xdr:rowOff>19050</xdr:rowOff>
    </xdr:to>
    <xdr:graphicFrame>
      <xdr:nvGraphicFramePr>
        <xdr:cNvPr id="3" name="Chart 1033"/>
        <xdr:cNvGraphicFramePr/>
      </xdr:nvGraphicFramePr>
      <xdr:xfrm>
        <a:off x="0" y="18230850"/>
        <a:ext cx="9286875" cy="34956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38100</xdr:rowOff>
    </xdr:from>
    <xdr:to>
      <xdr:col>11</xdr:col>
      <xdr:colOff>390525</xdr:colOff>
      <xdr:row>51</xdr:row>
      <xdr:rowOff>38100</xdr:rowOff>
    </xdr:to>
    <xdr:graphicFrame>
      <xdr:nvGraphicFramePr>
        <xdr:cNvPr id="4" name="Chart 1035"/>
        <xdr:cNvGraphicFramePr/>
      </xdr:nvGraphicFramePr>
      <xdr:xfrm>
        <a:off x="0" y="5534025"/>
        <a:ext cx="9286875" cy="32575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52</xdr:row>
      <xdr:rowOff>57150</xdr:rowOff>
    </xdr:from>
    <xdr:to>
      <xdr:col>12</xdr:col>
      <xdr:colOff>0</xdr:colOff>
      <xdr:row>72</xdr:row>
      <xdr:rowOff>104775</xdr:rowOff>
    </xdr:to>
    <xdr:graphicFrame>
      <xdr:nvGraphicFramePr>
        <xdr:cNvPr id="5" name="Chart 1043"/>
        <xdr:cNvGraphicFramePr/>
      </xdr:nvGraphicFramePr>
      <xdr:xfrm>
        <a:off x="0" y="8972550"/>
        <a:ext cx="9286875" cy="3286125"/>
      </xdr:xfrm>
      <a:graphic>
        <a:graphicData uri="http://schemas.openxmlformats.org/drawingml/2006/chart">
          <c:chart xmlns:c="http://schemas.openxmlformats.org/drawingml/2006/chart" r:id="rId5"/>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6</xdr:row>
      <xdr:rowOff>0</xdr:rowOff>
    </xdr:from>
    <xdr:ext cx="2857500" cy="685800"/>
    <xdr:sp>
      <xdr:nvSpPr>
        <xdr:cNvPr id="1" name="TextBox 32"/>
        <xdr:cNvSpPr txBox="1">
          <a:spLocks noChangeArrowheads="1"/>
        </xdr:cNvSpPr>
      </xdr:nvSpPr>
      <xdr:spPr>
        <a:xfrm>
          <a:off x="971550" y="342900"/>
          <a:ext cx="2857500" cy="685800"/>
        </a:xfrm>
        <a:prstGeom prst="rect">
          <a:avLst/>
        </a:prstGeom>
        <a:noFill/>
        <a:ln w="9525" cmpd="sng">
          <a:noFill/>
        </a:ln>
      </xdr:spPr>
      <xdr:txBody>
        <a:bodyPr vertOverflow="clip" wrap="square" anchor="ctr"/>
        <a:p>
          <a:pPr algn="l">
            <a:defRPr/>
          </a:pPr>
          <a:r>
            <a:rPr lang="en-US" cap="none" sz="900" b="0" i="0" u="none" baseline="0">
              <a:latin typeface="Arial"/>
              <a:ea typeface="Arial"/>
              <a:cs typeface="Arial"/>
            </a:rPr>
            <a:t>This tool right below allows the user to evaluate the pattern of mass balance with the soil TPH concentration given/ tested/ calculated under the same composition ratio as for the measured data and the same hydro- geological data previously entered by the user.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5</xdr:row>
      <xdr:rowOff>47625</xdr:rowOff>
    </xdr:from>
    <xdr:to>
      <xdr:col>9</xdr:col>
      <xdr:colOff>571500</xdr:colOff>
      <xdr:row>26</xdr:row>
      <xdr:rowOff>142875</xdr:rowOff>
    </xdr:to>
    <xdr:graphicFrame>
      <xdr:nvGraphicFramePr>
        <xdr:cNvPr id="1" name="Chart 1"/>
        <xdr:cNvGraphicFramePr/>
      </xdr:nvGraphicFramePr>
      <xdr:xfrm>
        <a:off x="238125" y="1047750"/>
        <a:ext cx="6515100" cy="34956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142875</xdr:rowOff>
    </xdr:from>
    <xdr:to>
      <xdr:col>10</xdr:col>
      <xdr:colOff>571500</xdr:colOff>
      <xdr:row>33</xdr:row>
      <xdr:rowOff>142875</xdr:rowOff>
    </xdr:to>
    <xdr:graphicFrame>
      <xdr:nvGraphicFramePr>
        <xdr:cNvPr id="1" name="Chart 5"/>
        <xdr:cNvGraphicFramePr/>
      </xdr:nvGraphicFramePr>
      <xdr:xfrm>
        <a:off x="104775" y="819150"/>
        <a:ext cx="8582025" cy="54768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xdr:row>
      <xdr:rowOff>85725</xdr:rowOff>
    </xdr:from>
    <xdr:to>
      <xdr:col>12</xdr:col>
      <xdr:colOff>552450</xdr:colOff>
      <xdr:row>17</xdr:row>
      <xdr:rowOff>752475</xdr:rowOff>
    </xdr:to>
    <xdr:graphicFrame>
      <xdr:nvGraphicFramePr>
        <xdr:cNvPr id="1" name="Chart 5"/>
        <xdr:cNvGraphicFramePr/>
      </xdr:nvGraphicFramePr>
      <xdr:xfrm>
        <a:off x="133350" y="1285875"/>
        <a:ext cx="8972550" cy="4695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7</xdr:row>
      <xdr:rowOff>0</xdr:rowOff>
    </xdr:from>
    <xdr:ext cx="4000500" cy="2343150"/>
    <xdr:sp>
      <xdr:nvSpPr>
        <xdr:cNvPr id="1" name="TextBox 3"/>
        <xdr:cNvSpPr txBox="1">
          <a:spLocks noChangeArrowheads="1"/>
        </xdr:cNvSpPr>
      </xdr:nvSpPr>
      <xdr:spPr>
        <a:xfrm>
          <a:off x="742950" y="400050"/>
          <a:ext cx="4000500" cy="2343150"/>
        </a:xfrm>
        <a:prstGeom prst="rect">
          <a:avLst/>
        </a:prstGeom>
        <a:noFill/>
        <a:ln w="9525" cmpd="sng">
          <a:noFill/>
        </a:ln>
      </xdr:spPr>
      <xdr:txBody>
        <a:bodyPr vertOverflow="clip" wrap="square" anchor="ctr"/>
        <a:p>
          <a:pPr algn="l">
            <a:defRPr/>
          </a:pPr>
          <a:r>
            <a:rPr lang="en-US" cap="none" sz="1000" b="0" i="0" u="none" baseline="0">
              <a:solidFill>
                <a:srgbClr val="800000"/>
              </a:solidFill>
              <a:latin typeface="Arial"/>
              <a:ea typeface="Arial"/>
              <a:cs typeface="Arial"/>
            </a:rPr>
            <a:t>DISCLAIMER:  MTCATPH is provided “AS IS” and without warranties as to performance or any other warranties of any kind whether expressed or implied.  The user assumes the entire risk of using this program.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3314700" cy="1600200"/>
    <xdr:sp>
      <xdr:nvSpPr>
        <xdr:cNvPr id="1" name="TextBox 3"/>
        <xdr:cNvSpPr txBox="1">
          <a:spLocks noChangeArrowheads="1"/>
        </xdr:cNvSpPr>
      </xdr:nvSpPr>
      <xdr:spPr>
        <a:xfrm>
          <a:off x="800100" y="400050"/>
          <a:ext cx="3314700" cy="1600200"/>
        </a:xfrm>
        <a:prstGeom prst="rect">
          <a:avLst/>
        </a:prstGeom>
        <a:noFill/>
        <a:ln w="9525" cmpd="sng">
          <a:noFill/>
        </a:ln>
      </xdr:spPr>
      <xdr:txBody>
        <a:bodyPr vertOverflow="clip" wrap="square" anchor="ctr"/>
        <a:p>
          <a:pPr algn="l">
            <a:defRPr/>
          </a:pPr>
          <a:r>
            <a:rPr lang="en-US" cap="none" sz="1000" b="0" i="0" u="none" baseline="0">
              <a:solidFill>
                <a:srgbClr val="800000"/>
              </a:solidFill>
              <a:latin typeface="Arial"/>
              <a:ea typeface="Arial"/>
              <a:cs typeface="Arial"/>
            </a:rPr>
            <a:t>CAUTION: The requirements and procedures for establishing cleanup levels that are protective of human health and the environment are specified in the MTCA Cleanup Regulation, chapter 173-340 WAC.  The use of this Workbook is not sufficient to establish cleanup levels under the regulation.  The soil cleanup levels derived using this Workbook do not account for ecological impacts.  The ground water cleanup levels do not account for potential surface water impacts.  Other exposure pathways may need to be evaluated on a site-specific basis to establish soil cleanup levels.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8</xdr:row>
      <xdr:rowOff>19050</xdr:rowOff>
    </xdr:from>
    <xdr:ext cx="5724525" cy="314325"/>
    <xdr:sp>
      <xdr:nvSpPr>
        <xdr:cNvPr id="1" name="Text Box 7"/>
        <xdr:cNvSpPr txBox="1">
          <a:spLocks noChangeArrowheads="1"/>
        </xdr:cNvSpPr>
      </xdr:nvSpPr>
      <xdr:spPr>
        <a:xfrm>
          <a:off x="466725" y="885825"/>
          <a:ext cx="5724525" cy="314325"/>
        </a:xfrm>
        <a:prstGeom prst="rect">
          <a:avLst/>
        </a:prstGeom>
        <a:solidFill>
          <a:srgbClr val="000000"/>
        </a:solidFill>
        <a:ln w="3175" cmpd="sng">
          <a:noFill/>
        </a:ln>
      </xdr:spPr>
      <xdr:txBody>
        <a:bodyPr vertOverflow="clip" wrap="square" lIns="27432" tIns="27432" rIns="27432" bIns="0"/>
        <a:p>
          <a:pPr algn="ctr">
            <a:defRPr/>
          </a:pPr>
          <a:r>
            <a:rPr lang="en-US" cap="none" sz="900" b="0" i="1" u="none" baseline="0">
              <a:solidFill>
                <a:srgbClr val="C0C0C0"/>
              </a:solidFill>
              <a:latin typeface="Times New Roman"/>
              <a:ea typeface="Times New Roman"/>
              <a:cs typeface="Times New Roman"/>
            </a:rPr>
            <a:t>This Workbook uses chemical-specific and site-specific input data provided by the user and/or default parameter values set forth in Chapter 173-340 WAC to calculate the following for a Petroleum Mixture:</a:t>
          </a:r>
          <a:r>
            <a:rPr lang="en-US" cap="none" sz="900" b="1" i="0" u="none" baseline="0">
              <a:solidFill>
                <a:srgbClr val="C0C0C0"/>
              </a:solidFill>
              <a:latin typeface="Times New Roman"/>
              <a:ea typeface="Times New Roman"/>
              <a:cs typeface="Times New Roman"/>
            </a:rPr>
            <a:t>
</a:t>
          </a:r>
        </a:p>
      </xdr:txBody>
    </xdr:sp>
    <xdr:clientData/>
  </xdr:oneCellAnchor>
  <xdr:oneCellAnchor>
    <xdr:from>
      <xdr:col>2</xdr:col>
      <xdr:colOff>571500</xdr:colOff>
      <xdr:row>10</xdr:row>
      <xdr:rowOff>0</xdr:rowOff>
    </xdr:from>
    <xdr:ext cx="5019675" cy="1781175"/>
    <xdr:sp>
      <xdr:nvSpPr>
        <xdr:cNvPr id="2" name="Text Box 8"/>
        <xdr:cNvSpPr txBox="1">
          <a:spLocks noChangeArrowheads="1"/>
        </xdr:cNvSpPr>
      </xdr:nvSpPr>
      <xdr:spPr>
        <a:xfrm>
          <a:off x="781050" y="1333500"/>
          <a:ext cx="5019675" cy="1781175"/>
        </a:xfrm>
        <a:prstGeom prst="rect">
          <a:avLst/>
        </a:prstGeom>
        <a:solidFill>
          <a:srgbClr val="000000">
            <a:alpha val="87000"/>
          </a:srgbClr>
        </a:solidFill>
        <a:ln w="3175" cmpd="sng">
          <a:noFill/>
        </a:ln>
      </xdr:spPr>
      <xdr:txBody>
        <a:bodyPr vertOverflow="clip" wrap="square" lIns="36576" tIns="32004" rIns="0" bIns="0"/>
        <a:p>
          <a:pPr algn="l">
            <a:defRPr/>
          </a:pPr>
          <a:r>
            <a:rPr lang="en-US" cap="none" sz="1200" b="1" i="0" u="sng" baseline="0">
              <a:solidFill>
                <a:srgbClr val="C0C0C0"/>
              </a:solidFill>
              <a:latin typeface="Times New Roman"/>
              <a:ea typeface="Times New Roman"/>
              <a:cs typeface="Times New Roman"/>
            </a:rPr>
            <a:t>Soil Cleanup Level</a:t>
          </a:r>
          <a:r>
            <a:rPr lang="en-US" cap="none" sz="1000" b="1" i="0" u="none" baseline="0">
              <a:solidFill>
                <a:srgbClr val="C0C0C0"/>
              </a:solidFill>
              <a:latin typeface="Times New Roman"/>
              <a:ea typeface="Times New Roman"/>
              <a:cs typeface="Times New Roman"/>
            </a:rPr>
            <a:t> for Unrestricted (Method B) and Industrial (Method C) Land Uses:
</a:t>
          </a:r>
          <a:r>
            <a:rPr lang="en-US" cap="none" sz="1000" b="1" i="0" u="none" baseline="0">
              <a:solidFill>
                <a:srgbClr val="C0C0C0"/>
              </a:solidFill>
              <a:latin typeface="Times New Roman"/>
              <a:ea typeface="Times New Roman"/>
              <a:cs typeface="Times New Roman"/>
            </a:rPr>
            <a:t>                 1. Protection of Soil Direct Contact Pathway (Human Health)          
</a:t>
          </a:r>
          <a:r>
            <a:rPr lang="en-US" cap="none" sz="1000" b="1" i="0" u="none" baseline="0">
              <a:solidFill>
                <a:srgbClr val="C0C0C0"/>
              </a:solidFill>
              <a:latin typeface="Times New Roman"/>
              <a:ea typeface="Times New Roman"/>
              <a:cs typeface="Times New Roman"/>
            </a:rPr>
            <a:t>                       * Method B unrestricted land use
</a:t>
          </a:r>
          <a:r>
            <a:rPr lang="en-US" cap="none" sz="1000" b="1" i="0" u="none" baseline="0">
              <a:solidFill>
                <a:srgbClr val="C0C0C0"/>
              </a:solidFill>
              <a:latin typeface="Times New Roman"/>
              <a:ea typeface="Times New Roman"/>
              <a:cs typeface="Times New Roman"/>
            </a:rPr>
            <a:t>                       * Method C industrial land use
</a:t>
          </a:r>
          <a:r>
            <a:rPr lang="en-US" cap="none" sz="1000" b="1" i="0" u="none" baseline="0">
              <a:solidFill>
                <a:srgbClr val="C0C0C0"/>
              </a:solidFill>
              <a:latin typeface="Times New Roman"/>
              <a:ea typeface="Times New Roman"/>
              <a:cs typeface="Times New Roman"/>
            </a:rPr>
            <a:t>                 2. Protection of Ground Water Quality (Leaching Pathway)
</a:t>
          </a:r>
          <a:r>
            <a:rPr lang="en-US" cap="none" sz="1000" b="1" i="0" u="none" baseline="0">
              <a:solidFill>
                <a:srgbClr val="C0C0C0"/>
              </a:solidFill>
              <a:latin typeface="Times New Roman"/>
              <a:ea typeface="Times New Roman"/>
              <a:cs typeface="Times New Roman"/>
            </a:rPr>
            <a:t>                       * Based on protection of human health (Method B)
</a:t>
          </a:r>
          <a:r>
            <a:rPr lang="en-US" cap="none" sz="1000" b="1" i="0" u="none" baseline="0">
              <a:solidFill>
                <a:srgbClr val="C0C0C0"/>
              </a:solidFill>
              <a:latin typeface="Times New Roman"/>
              <a:ea typeface="Times New Roman"/>
              <a:cs typeface="Times New Roman"/>
            </a:rPr>
            <a:t>                       * Based on a target TPH ground water concentration already adjusted
</a:t>
          </a:r>
          <a:r>
            <a:rPr lang="en-US" cap="none" sz="1000" b="1" i="0" u="none" baseline="0">
              <a:solidFill>
                <a:srgbClr val="C0C0C0"/>
              </a:solidFill>
              <a:latin typeface="Times New Roman"/>
              <a:ea typeface="Times New Roman"/>
              <a:cs typeface="Times New Roman"/>
            </a:rPr>
            <a:t>                 3.  Protection of Air Quality (Vapor Pathway)
</a:t>
          </a:r>
          <a:r>
            <a:rPr lang="en-US" cap="none" sz="1000" b="1" i="0" u="none" baseline="0">
              <a:solidFill>
                <a:srgbClr val="C0C0C0"/>
              </a:solidFill>
              <a:latin typeface="Times New Roman"/>
              <a:ea typeface="Times New Roman"/>
              <a:cs typeface="Times New Roman"/>
            </a:rPr>
            <a:t>                       * Method B only: provided for informational purposes only
</a:t>
          </a:r>
          <a:r>
            <a:rPr lang="en-US" cap="none" sz="1200" b="1" i="0" u="sng" baseline="0">
              <a:solidFill>
                <a:srgbClr val="C0C0C0"/>
              </a:solidFill>
              <a:latin typeface="Times New Roman"/>
              <a:ea typeface="Times New Roman"/>
              <a:cs typeface="Times New Roman"/>
            </a:rPr>
            <a:t>Ground Water Cleanup Level</a:t>
          </a:r>
          <a:r>
            <a:rPr lang="en-US" cap="none" sz="1000" b="1" i="0" u="none" baseline="0">
              <a:solidFill>
                <a:srgbClr val="C0C0C0"/>
              </a:solidFill>
              <a:latin typeface="Times New Roman"/>
              <a:ea typeface="Times New Roman"/>
              <a:cs typeface="Times New Roman"/>
            </a:rPr>
            <a:t> for Drinking Water Beneficial Use (Method B only)</a:t>
          </a:r>
        </a:p>
      </xdr:txBody>
    </xdr:sp>
    <xdr:clientData/>
  </xdr:oneCellAnchor>
  <xdr:twoCellAnchor editAs="oneCell">
    <xdr:from>
      <xdr:col>11</xdr:col>
      <xdr:colOff>0</xdr:colOff>
      <xdr:row>0</xdr:row>
      <xdr:rowOff>0</xdr:rowOff>
    </xdr:from>
    <xdr:to>
      <xdr:col>11</xdr:col>
      <xdr:colOff>123825</xdr:colOff>
      <xdr:row>0</xdr:row>
      <xdr:rowOff>114300</xdr:rowOff>
    </xdr:to>
    <xdr:pic>
      <xdr:nvPicPr>
        <xdr:cNvPr id="3" name="Picture 20"/>
        <xdr:cNvPicPr preferRelativeResize="1">
          <a:picLocks noChangeAspect="1"/>
        </xdr:cNvPicPr>
      </xdr:nvPicPr>
      <xdr:blipFill>
        <a:blip r:embed="rId1"/>
        <a:stretch>
          <a:fillRect/>
        </a:stretch>
      </xdr:blipFill>
      <xdr:spPr>
        <a:xfrm>
          <a:off x="7410450" y="0"/>
          <a:ext cx="123825" cy="1143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2686050" cy="571500"/>
    <xdr:sp>
      <xdr:nvSpPr>
        <xdr:cNvPr id="1" name="TextBox 3"/>
        <xdr:cNvSpPr txBox="1">
          <a:spLocks noChangeArrowheads="1"/>
        </xdr:cNvSpPr>
      </xdr:nvSpPr>
      <xdr:spPr>
        <a:xfrm>
          <a:off x="800100" y="400050"/>
          <a:ext cx="2686050" cy="571500"/>
        </a:xfrm>
        <a:prstGeom prst="rect">
          <a:avLst/>
        </a:prstGeom>
        <a:noFill/>
        <a:ln w="9525" cmpd="sng">
          <a:noFill/>
        </a:ln>
      </xdr:spPr>
      <xdr:txBody>
        <a:bodyPr vertOverflow="clip" wrap="square" anchor="ctr"/>
        <a:p>
          <a:pPr algn="l">
            <a:defRPr/>
          </a:pPr>
          <a:r>
            <a:rPr lang="en-US" cap="none" sz="1200" b="0" i="0" u="none" baseline="0">
              <a:solidFill>
                <a:srgbClr val="FF0000"/>
              </a:solidFill>
              <a:latin typeface="Arial"/>
              <a:ea typeface="Arial"/>
              <a:cs typeface="Arial"/>
            </a:rPr>
            <a:t>DO NOT LOAD AND USE MORE THAN ONE (1) COPY OF "MTCATPH" WORKBOOK AT THE SAME TIME.</a:t>
          </a:r>
          <a:r>
            <a:rPr lang="en-US" cap="none" sz="1200" b="1" i="0" u="none" baseline="0">
              <a:solidFill>
                <a:srgbClr val="FF0000"/>
              </a:solidFill>
              <a:latin typeface="Arial"/>
              <a:ea typeface="Arial"/>
              <a:cs typeface="Aria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0</xdr:colOff>
      <xdr:row>18</xdr:row>
      <xdr:rowOff>0</xdr:rowOff>
    </xdr:from>
    <xdr:ext cx="2362200" cy="161925"/>
    <xdr:sp>
      <xdr:nvSpPr>
        <xdr:cNvPr id="1" name="TextBox 34"/>
        <xdr:cNvSpPr txBox="1">
          <a:spLocks noChangeArrowheads="1"/>
        </xdr:cNvSpPr>
      </xdr:nvSpPr>
      <xdr:spPr>
        <a:xfrm>
          <a:off x="1657350" y="1028700"/>
          <a:ext cx="2362200" cy="1619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900" b="0" i="0" u="none" baseline="0">
              <a:latin typeface="Arial"/>
              <a:ea typeface="Arial"/>
              <a:cs typeface="Arial"/>
            </a:rPr>
            <a:t>See Table 747-5 in MTCA for basis and limitations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7</xdr:row>
      <xdr:rowOff>0</xdr:rowOff>
    </xdr:from>
    <xdr:ext cx="3771900" cy="1371600"/>
    <xdr:sp>
      <xdr:nvSpPr>
        <xdr:cNvPr id="1" name="TextBox 3"/>
        <xdr:cNvSpPr txBox="1">
          <a:spLocks noChangeArrowheads="1"/>
        </xdr:cNvSpPr>
      </xdr:nvSpPr>
      <xdr:spPr>
        <a:xfrm>
          <a:off x="800100" y="400050"/>
          <a:ext cx="3771900" cy="1371600"/>
        </a:xfrm>
        <a:prstGeom prst="rect">
          <a:avLst/>
        </a:prstGeom>
        <a:noFill/>
        <a:ln w="9525" cmpd="sng">
          <a:noFill/>
        </a:ln>
      </xdr:spPr>
      <xdr:txBody>
        <a:bodyPr vertOverflow="clip" wrap="square" anchor="ctr"/>
        <a:p>
          <a:pPr algn="l">
            <a:defRPr/>
          </a:pPr>
          <a:r>
            <a:rPr lang="en-US" cap="none" sz="900" b="1" i="0" u="sng" baseline="0">
              <a:latin typeface="Arial"/>
              <a:ea typeface="Arial"/>
              <a:cs typeface="Arial"/>
            </a:rPr>
            <a:t>Quick Instructions for Calculating TPH Ground Water Cleanup Levels</a:t>
          </a:r>
          <a:r>
            <a:rPr lang="en-US" cap="none" sz="900" b="0" i="0" u="none" baseline="0">
              <a:latin typeface="Arial"/>
              <a:ea typeface="Arial"/>
              <a:cs typeface="Arial"/>
            </a:rPr>
            <a:t>
• On the MTCATPH Tool Navigator, select “B” button.
• Under Section 1, enter site information.
• Under Section 2, enter measured ground water concentrations.
• Select “Calculate Protective TPH GW Concentration” button.
• Select “Most Stringent Criterion” button.
• Select “Print” button to obtain a hard copy of the calculation (inputs and outputs).
• Select “Main” button to return to the MTCATPH Tool Navigator OR select “End” button to exit the MTCATPH Tool.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7</xdr:row>
      <xdr:rowOff>0</xdr:rowOff>
    </xdr:from>
    <xdr:ext cx="4514850" cy="2857500"/>
    <xdr:sp>
      <xdr:nvSpPr>
        <xdr:cNvPr id="1" name="TextBox 3"/>
        <xdr:cNvSpPr txBox="1">
          <a:spLocks noChangeArrowheads="1"/>
        </xdr:cNvSpPr>
      </xdr:nvSpPr>
      <xdr:spPr>
        <a:xfrm>
          <a:off x="1028700" y="400050"/>
          <a:ext cx="4514850" cy="2857500"/>
        </a:xfrm>
        <a:prstGeom prst="rect">
          <a:avLst/>
        </a:prstGeom>
        <a:noFill/>
        <a:ln w="9525" cmpd="sng">
          <a:noFill/>
        </a:ln>
      </xdr:spPr>
      <xdr:txBody>
        <a:bodyPr vertOverflow="clip" wrap="square" anchor="ctr"/>
        <a:p>
          <a:pPr algn="l">
            <a:defRPr/>
          </a:pPr>
          <a:r>
            <a:rPr lang="en-US" cap="none" sz="900" b="1" i="0" u="sng" baseline="0">
              <a:latin typeface="Arial"/>
              <a:ea typeface="Arial"/>
              <a:cs typeface="Arial"/>
            </a:rPr>
            <a:t>Data Entry for soil and ground water exposure pathways</a:t>
          </a:r>
          <a:r>
            <a:rPr lang="en-US" cap="none" sz="900" b="1" i="0" u="none" baseline="0">
              <a:latin typeface="Arial"/>
              <a:ea typeface="Arial"/>
              <a:cs typeface="Arial"/>
            </a:rPr>
            <a:t>
1.</a:t>
          </a:r>
          <a:r>
            <a:rPr lang="en-US" cap="none" sz="900" b="0" i="0" u="none" baseline="0">
              <a:latin typeface="Arial"/>
              <a:ea typeface="Arial"/>
              <a:cs typeface="Arial"/>
            </a:rPr>
            <a:t> All data at the data entry cell (non-colored cell) except header information must be numeric values.  Use of alphabetical characters (i.e., "ND", "NA",  "&lt;", "&gt;", or "=") will cause an error.
</a:t>
          </a:r>
          <a:r>
            <a:rPr lang="en-US" cap="none" sz="900" b="1" i="0" u="none" baseline="0">
              <a:latin typeface="Arial"/>
              <a:ea typeface="Arial"/>
              <a:cs typeface="Arial"/>
            </a:rPr>
            <a:t>2. </a:t>
          </a:r>
          <a:r>
            <a:rPr lang="en-US" cap="none" sz="900" b="0" i="0" u="none" baseline="0">
              <a:latin typeface="Arial"/>
              <a:ea typeface="Arial"/>
              <a:cs typeface="Arial"/>
            </a:rPr>
            <a:t>Try to avoid double counting: The Petroleum Equivalent Carbon (EC) fractions include many individual substances that must be analyzed separately.    When entering the concentration of Petroleum EC fraction into the data entry cell, make sure you subtract the concentration of individual substances from the appropriate EC fraction. (See User’s Guide)
</a:t>
          </a:r>
          <a:r>
            <a:rPr lang="en-US" cap="none" sz="900" b="1" i="0" u="none" baseline="0">
              <a:latin typeface="Arial"/>
              <a:ea typeface="Arial"/>
              <a:cs typeface="Arial"/>
            </a:rPr>
            <a:t>3.</a:t>
          </a:r>
          <a:r>
            <a:rPr lang="en-US" cap="none" sz="900" b="0" i="0" u="none" baseline="0">
              <a:latin typeface="Arial"/>
              <a:ea typeface="Arial"/>
              <a:cs typeface="Arial"/>
            </a:rPr>
            <a:t> For the values of Petroleum EC fraction measurement below the method detection limit, substitute  one-half the method detection limit. For the values for Petroleum EC fraction measurement above the method detection limit but below the practical quantitation limit, substitute the method detection limit.  However, for a hazardous substance or petroleum fraction which has never been detected in any sample at a site and these substances are not suspected of being present at the site based on site history and other knowledge, enter "0" for that hazardous substances or petroleum fraction for further calculation. For additional information, please refer to WAC 173-340-740(7)(f) for soil samples and WAC 173-340-720(9)(f) for ground water samples.
</a:t>
          </a:r>
          <a:r>
            <a:rPr lang="en-US" cap="none" sz="900" b="1" i="0" u="none" baseline="0">
              <a:latin typeface="Arial"/>
              <a:ea typeface="Arial"/>
              <a:cs typeface="Arial"/>
            </a:rPr>
            <a:t>4.</a:t>
          </a:r>
          <a:r>
            <a:rPr lang="en-US" cap="none" sz="900" b="0" i="0" u="none" baseline="0">
              <a:latin typeface="Arial"/>
              <a:ea typeface="Arial"/>
              <a:cs typeface="Arial"/>
            </a:rPr>
            <a:t> For detail analytical testing requirements for petroleum contaminated sites, refer to WAC 173-340-820, 830 and 840, and Table 830-1.
</a:t>
          </a:r>
          <a:r>
            <a:rPr lang="en-US" cap="none" sz="900" b="1" i="0" u="none" baseline="0">
              <a:latin typeface="Arial"/>
              <a:ea typeface="Arial"/>
              <a:cs typeface="Arial"/>
            </a:rPr>
            <a:t>5.</a:t>
          </a:r>
          <a:r>
            <a:rPr lang="en-US" cap="none" sz="900" b="0" i="0" u="none" baseline="0">
              <a:latin typeface="Arial"/>
              <a:ea typeface="Arial"/>
              <a:cs typeface="Arial"/>
            </a:rPr>
            <a:t> For detail information on site-specific hydrogeological conditions for leaching pathway, please refer to WAC 173-340-747.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ecy.wa.gov/programs/tcp/tools/CLARC_v_3.1/clarc_v_3_1.htm" TargetMode="External" /><Relationship Id="rId2" Type="http://schemas.openxmlformats.org/officeDocument/2006/relationships/hyperlink" Target="https://fortress.wa.gov/ecy/clarc/CLARCHome.aspx" TargetMode="External" /><Relationship Id="rId3" Type="http://schemas.openxmlformats.org/officeDocument/2006/relationships/comments" Target="../comments20.xml" /><Relationship Id="rId4" Type="http://schemas.openxmlformats.org/officeDocument/2006/relationships/vmlDrawing" Target="../drawings/vmlDrawing20.v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20.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drawing" Target="../drawings/drawing23.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4.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25.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6.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27.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28.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cy.wa.gov/programs/tcp/tools/toolmain.html#User's%20Guide"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5546875" defaultRowHeight="4.5" customHeight="1"/>
  <cols>
    <col min="1" max="16384" width="0.85546875" style="44" customWidth="1"/>
  </cols>
  <sheetData/>
  <sheetProtection sheet="1"/>
  <printOptions/>
  <pageMargins left="0.37" right="0.75" top="0.8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3.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J1">
      <selection activeCell="A1" sqref="A1"/>
    </sheetView>
  </sheetViews>
  <sheetFormatPr defaultColWidth="0.85546875" defaultRowHeight="4.5" customHeight="1"/>
  <cols>
    <col min="1" max="16384" width="0.85546875" style="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311">
    <pageSetUpPr fitToPage="1"/>
  </sheetPr>
  <dimension ref="A1:AK86"/>
  <sheetViews>
    <sheetView showGridLines="0" showRowColHeaders="0" zoomScale="62" zoomScaleNormal="62" zoomScalePageLayoutView="0" workbookViewId="0" topLeftCell="E1">
      <selection activeCell="V96" sqref="V96"/>
    </sheetView>
  </sheetViews>
  <sheetFormatPr defaultColWidth="9.140625" defaultRowHeight="12.75"/>
  <cols>
    <col min="1" max="1" width="1.421875" style="229" hidden="1" customWidth="1"/>
    <col min="2" max="2" width="1.7109375" style="229" hidden="1" customWidth="1"/>
    <col min="3" max="3" width="2.140625" style="229" hidden="1" customWidth="1"/>
    <col min="4" max="4" width="8.140625" style="229" hidden="1" customWidth="1"/>
    <col min="5" max="5" width="23.8515625" style="229" customWidth="1"/>
    <col min="6" max="6" width="1.7109375" style="229" customWidth="1"/>
    <col min="7" max="7" width="11.421875" style="229" customWidth="1"/>
    <col min="8" max="8" width="8.57421875" style="229" customWidth="1"/>
    <col min="9" max="9" width="10.8515625" style="857" hidden="1" customWidth="1"/>
    <col min="10" max="10" width="8.421875" style="857" hidden="1" customWidth="1"/>
    <col min="11" max="11" width="12.421875" style="857" hidden="1" customWidth="1"/>
    <col min="12" max="12" width="10.00390625" style="857" customWidth="1"/>
    <col min="13" max="13" width="10.00390625" style="857" hidden="1" customWidth="1"/>
    <col min="14" max="14" width="10.00390625" style="857" customWidth="1"/>
    <col min="15" max="15" width="9.140625" style="857" customWidth="1"/>
    <col min="16" max="16" width="11.8515625" style="857" hidden="1" customWidth="1"/>
    <col min="17" max="17" width="7.140625" style="857" hidden="1" customWidth="1"/>
    <col min="18" max="18" width="12.00390625" style="857" hidden="1" customWidth="1"/>
    <col min="19" max="19" width="11.00390625" style="857" customWidth="1"/>
    <col min="20" max="20" width="9.421875" style="857" customWidth="1"/>
    <col min="21" max="21" width="10.140625" style="857" customWidth="1"/>
    <col min="22" max="22" width="8.421875" style="857" customWidth="1"/>
    <col min="23" max="23" width="7.7109375" style="857" hidden="1" customWidth="1"/>
    <col min="24" max="24" width="1.7109375" style="857" hidden="1" customWidth="1"/>
    <col min="25" max="25" width="3.8515625" style="857" hidden="1" customWidth="1"/>
    <col min="26" max="26" width="0.9921875" style="229" customWidth="1"/>
    <col min="27" max="27" width="16.00390625" style="229" customWidth="1"/>
    <col min="28" max="28" width="6.7109375" style="229" customWidth="1"/>
    <col min="29" max="29" width="10.421875" style="229" customWidth="1"/>
    <col min="30" max="31" width="9.28125" style="229" customWidth="1"/>
    <col min="32" max="32" width="10.28125" style="229" customWidth="1"/>
    <col min="33" max="33" width="0.85546875" style="229" customWidth="1"/>
    <col min="34" max="34" width="1.7109375" style="229" customWidth="1"/>
    <col min="35" max="35" width="1.1484375" style="229" customWidth="1"/>
    <col min="36" max="36" width="2.421875" style="229" customWidth="1"/>
    <col min="37" max="37" width="3.00390625" style="229" customWidth="1"/>
    <col min="38" max="16384" width="9.140625" style="229" customWidth="1"/>
  </cols>
  <sheetData>
    <row r="1" spans="1:33" ht="20.25" customHeight="1" thickBot="1">
      <c r="A1" s="788"/>
      <c r="B1" s="788"/>
      <c r="C1" s="788"/>
      <c r="D1" s="788"/>
      <c r="E1" s="962" t="s">
        <v>537</v>
      </c>
      <c r="F1" s="788"/>
      <c r="G1" s="222"/>
      <c r="H1" s="222"/>
      <c r="I1" s="230"/>
      <c r="J1" s="230"/>
      <c r="K1" s="230"/>
      <c r="L1" s="230"/>
      <c r="M1" s="230"/>
      <c r="N1" s="230"/>
      <c r="O1" s="230"/>
      <c r="P1" s="230"/>
      <c r="Q1" s="230"/>
      <c r="R1" s="230"/>
      <c r="S1" s="230"/>
      <c r="T1" s="230"/>
      <c r="U1" s="230"/>
      <c r="V1" s="230"/>
      <c r="W1" s="230"/>
      <c r="X1" s="230"/>
      <c r="Y1" s="230"/>
      <c r="Z1" s="222"/>
      <c r="AA1" s="222"/>
      <c r="AB1" s="222"/>
      <c r="AC1" s="222"/>
      <c r="AD1" s="222"/>
      <c r="AE1" s="222"/>
      <c r="AF1" s="222"/>
      <c r="AG1" s="222"/>
    </row>
    <row r="2" spans="1:36" ht="15" customHeight="1" thickBot="1">
      <c r="A2" s="943"/>
      <c r="B2" s="943"/>
      <c r="C2" s="943"/>
      <c r="D2" s="943"/>
      <c r="E2" s="963" t="s">
        <v>535</v>
      </c>
      <c r="F2" s="599"/>
      <c r="G2" s="222"/>
      <c r="H2" s="222"/>
      <c r="I2" s="230"/>
      <c r="J2" s="230"/>
      <c r="K2" s="230"/>
      <c r="L2" s="230"/>
      <c r="M2" s="230"/>
      <c r="N2" s="230"/>
      <c r="O2" s="230"/>
      <c r="P2" s="230"/>
      <c r="Q2" s="230"/>
      <c r="R2" s="230"/>
      <c r="S2" s="230"/>
      <c r="T2" s="230"/>
      <c r="U2" s="230"/>
      <c r="V2" s="230"/>
      <c r="W2" s="230"/>
      <c r="X2" s="230"/>
      <c r="Y2" s="230"/>
      <c r="Z2" s="222"/>
      <c r="AA2" s="1866" t="s">
        <v>519</v>
      </c>
      <c r="AB2" s="1867"/>
      <c r="AC2" s="1867"/>
      <c r="AD2" s="1867"/>
      <c r="AE2" s="1867"/>
      <c r="AF2" s="1868"/>
      <c r="AG2" s="233"/>
      <c r="AH2" s="235"/>
      <c r="AI2" s="241"/>
      <c r="AJ2" s="241"/>
    </row>
    <row r="3" spans="1:34" ht="16.5" thickTop="1">
      <c r="A3" s="943"/>
      <c r="B3" s="943"/>
      <c r="C3" s="943"/>
      <c r="D3" s="943"/>
      <c r="E3" s="954" t="s">
        <v>533</v>
      </c>
      <c r="F3" s="600"/>
      <c r="G3" s="601"/>
      <c r="H3" s="601"/>
      <c r="I3" s="789"/>
      <c r="J3" s="789"/>
      <c r="K3" s="789"/>
      <c r="L3" s="789"/>
      <c r="M3" s="789"/>
      <c r="N3" s="789"/>
      <c r="O3" s="789"/>
      <c r="P3" s="789"/>
      <c r="Q3" s="789"/>
      <c r="R3" s="789"/>
      <c r="S3" s="789"/>
      <c r="T3" s="789"/>
      <c r="U3" s="789"/>
      <c r="V3" s="789"/>
      <c r="W3" s="230"/>
      <c r="X3" s="230"/>
      <c r="Y3" s="230"/>
      <c r="Z3" s="222"/>
      <c r="AA3" s="624"/>
      <c r="AB3" s="907"/>
      <c r="AC3" s="908"/>
      <c r="AD3" s="730" t="s">
        <v>534</v>
      </c>
      <c r="AE3" s="1852">
        <f>G44</f>
        <v>283.42</v>
      </c>
      <c r="AF3" s="1853"/>
      <c r="AG3" s="233"/>
      <c r="AH3" s="235"/>
    </row>
    <row r="4" spans="1:34" ht="13.5">
      <c r="A4" s="222"/>
      <c r="B4" s="222"/>
      <c r="C4" s="222"/>
      <c r="D4" s="222"/>
      <c r="E4" s="594" t="s">
        <v>223</v>
      </c>
      <c r="F4" s="594"/>
      <c r="G4" s="790">
        <v>38655</v>
      </c>
      <c r="H4" s="791"/>
      <c r="I4" s="792"/>
      <c r="J4" s="792"/>
      <c r="K4" s="792"/>
      <c r="L4" s="792"/>
      <c r="M4" s="792"/>
      <c r="N4" s="792"/>
      <c r="O4" s="792"/>
      <c r="P4" s="792"/>
      <c r="Q4" s="792"/>
      <c r="R4" s="792"/>
      <c r="S4" s="792"/>
      <c r="T4" s="792"/>
      <c r="U4" s="792"/>
      <c r="V4" s="792"/>
      <c r="W4" s="231"/>
      <c r="X4" s="231"/>
      <c r="Y4" s="231"/>
      <c r="Z4" s="232"/>
      <c r="AA4" s="624"/>
      <c r="AB4" s="907"/>
      <c r="AC4" s="909"/>
      <c r="AD4" s="730" t="s">
        <v>453</v>
      </c>
      <c r="AE4" s="1854">
        <f>L44</f>
        <v>0.8126666666666666</v>
      </c>
      <c r="AF4" s="1855"/>
      <c r="AG4" s="233"/>
      <c r="AH4" s="235"/>
    </row>
    <row r="5" spans="1:34" ht="13.5">
      <c r="A5" s="222"/>
      <c r="B5" s="222"/>
      <c r="C5" s="222"/>
      <c r="D5" s="222"/>
      <c r="E5" s="594" t="s">
        <v>30</v>
      </c>
      <c r="F5" s="594"/>
      <c r="G5" s="793" t="s">
        <v>458</v>
      </c>
      <c r="H5" s="794"/>
      <c r="I5" s="792"/>
      <c r="J5" s="792"/>
      <c r="K5" s="792"/>
      <c r="L5" s="792"/>
      <c r="M5" s="792"/>
      <c r="N5" s="792"/>
      <c r="O5" s="792"/>
      <c r="P5" s="792"/>
      <c r="Q5" s="792"/>
      <c r="R5" s="792"/>
      <c r="S5" s="792"/>
      <c r="T5" s="792"/>
      <c r="U5" s="792"/>
      <c r="V5" s="792"/>
      <c r="W5" s="231"/>
      <c r="X5" s="231"/>
      <c r="Y5" s="231"/>
      <c r="Z5" s="232"/>
      <c r="AA5" s="764"/>
      <c r="AB5" s="914"/>
      <c r="AC5" s="915"/>
      <c r="AD5" s="765" t="s">
        <v>516</v>
      </c>
      <c r="AE5" s="1856">
        <f>N44</f>
        <v>1.7888000000000002E-05</v>
      </c>
      <c r="AF5" s="1857"/>
      <c r="AG5" s="233"/>
      <c r="AH5" s="235"/>
    </row>
    <row r="6" spans="1:37" ht="15.75" customHeight="1" thickBot="1">
      <c r="A6" s="222"/>
      <c r="B6" s="222"/>
      <c r="C6" s="222"/>
      <c r="D6" s="944"/>
      <c r="E6" s="945" t="s">
        <v>217</v>
      </c>
      <c r="F6" s="945"/>
      <c r="G6" s="946" t="s">
        <v>443</v>
      </c>
      <c r="H6" s="947"/>
      <c r="I6" s="948"/>
      <c r="J6" s="948"/>
      <c r="K6" s="948"/>
      <c r="L6" s="948"/>
      <c r="M6" s="948"/>
      <c r="N6" s="948"/>
      <c r="O6" s="948"/>
      <c r="P6" s="948"/>
      <c r="Q6" s="948"/>
      <c r="R6" s="948"/>
      <c r="S6" s="948"/>
      <c r="T6" s="948"/>
      <c r="U6" s="948"/>
      <c r="V6" s="948"/>
      <c r="W6" s="231"/>
      <c r="X6" s="231"/>
      <c r="Y6" s="231"/>
      <c r="Z6" s="232"/>
      <c r="AA6" s="956"/>
      <c r="AB6" s="957"/>
      <c r="AC6" s="958"/>
      <c r="AD6" s="959" t="s">
        <v>214</v>
      </c>
      <c r="AE6" s="958" t="str">
        <f>P51</f>
        <v>Fail</v>
      </c>
      <c r="AF6" s="960"/>
      <c r="AG6" s="233"/>
      <c r="AH6" s="235"/>
      <c r="AI6" s="795"/>
      <c r="AJ6" s="795"/>
      <c r="AK6" s="795"/>
    </row>
    <row r="7" spans="1:34" ht="22.5" customHeight="1" thickBot="1" thickTop="1">
      <c r="A7" s="222"/>
      <c r="B7" s="222"/>
      <c r="C7" s="222"/>
      <c r="D7" s="222"/>
      <c r="E7" s="955" t="s">
        <v>532</v>
      </c>
      <c r="F7" s="594"/>
      <c r="G7" s="324"/>
      <c r="H7" s="324"/>
      <c r="I7" s="231"/>
      <c r="J7" s="231"/>
      <c r="K7" s="231"/>
      <c r="L7" s="231"/>
      <c r="M7" s="231"/>
      <c r="N7" s="231"/>
      <c r="O7" s="231"/>
      <c r="P7" s="231"/>
      <c r="Q7" s="231"/>
      <c r="R7" s="231"/>
      <c r="S7" s="231"/>
      <c r="T7" s="231"/>
      <c r="U7" s="231"/>
      <c r="V7" s="231"/>
      <c r="W7" s="231"/>
      <c r="X7" s="231"/>
      <c r="Y7" s="231"/>
      <c r="Z7" s="232"/>
      <c r="AA7" s="1901">
        <f>IF(AE6="Pass",IF(AE3&gt;500,"Please check WAC 246-290-310!",""),"")</f>
      </c>
      <c r="AB7" s="1902"/>
      <c r="AC7" s="1902"/>
      <c r="AD7" s="1902"/>
      <c r="AE7" s="1902"/>
      <c r="AF7" s="1903"/>
      <c r="AG7" s="233"/>
      <c r="AH7" s="235"/>
    </row>
    <row r="8" spans="1:34" ht="15.75" customHeight="1" thickBot="1">
      <c r="A8" s="222"/>
      <c r="B8" s="222"/>
      <c r="C8" s="222"/>
      <c r="D8" s="222"/>
      <c r="E8" s="796"/>
      <c r="F8" s="797"/>
      <c r="G8" s="798"/>
      <c r="H8" s="798"/>
      <c r="I8" s="799"/>
      <c r="J8" s="799"/>
      <c r="K8" s="799"/>
      <c r="L8" s="1898" t="s">
        <v>215</v>
      </c>
      <c r="M8" s="1899"/>
      <c r="N8" s="1899"/>
      <c r="O8" s="1900"/>
      <c r="P8" s="800"/>
      <c r="Q8" s="800"/>
      <c r="R8" s="800"/>
      <c r="S8" s="1872" t="s">
        <v>216</v>
      </c>
      <c r="T8" s="1873"/>
      <c r="U8" s="1873"/>
      <c r="V8" s="1874"/>
      <c r="W8" s="230" t="s">
        <v>222</v>
      </c>
      <c r="X8" s="231"/>
      <c r="Y8" s="231"/>
      <c r="Z8" s="232"/>
      <c r="AA8" s="232"/>
      <c r="AB8" s="232"/>
      <c r="AC8" s="232"/>
      <c r="AD8" s="232"/>
      <c r="AE8" s="232"/>
      <c r="AF8" s="222"/>
      <c r="AG8" s="233"/>
      <c r="AH8" s="235"/>
    </row>
    <row r="9" spans="1:37" ht="15.75" customHeight="1" thickBot="1">
      <c r="A9" s="222"/>
      <c r="B9" s="222"/>
      <c r="C9" s="222"/>
      <c r="D9" s="222"/>
      <c r="E9" s="801"/>
      <c r="F9" s="802"/>
      <c r="G9" s="1875" t="s">
        <v>531</v>
      </c>
      <c r="H9" s="1875" t="s">
        <v>523</v>
      </c>
      <c r="I9" s="803" t="s">
        <v>472</v>
      </c>
      <c r="J9" s="803" t="s">
        <v>58</v>
      </c>
      <c r="K9" s="803" t="s">
        <v>473</v>
      </c>
      <c r="L9" s="1877" t="s">
        <v>60</v>
      </c>
      <c r="M9" s="804"/>
      <c r="N9" s="1880" t="s">
        <v>208</v>
      </c>
      <c r="O9" s="1883" t="s">
        <v>214</v>
      </c>
      <c r="P9" s="805" t="s">
        <v>222</v>
      </c>
      <c r="Q9" s="805"/>
      <c r="R9" s="805" t="s">
        <v>213</v>
      </c>
      <c r="S9" s="1886" t="s">
        <v>430</v>
      </c>
      <c r="T9" s="1889" t="s">
        <v>60</v>
      </c>
      <c r="U9" s="1889" t="s">
        <v>208</v>
      </c>
      <c r="V9" s="1906" t="s">
        <v>214</v>
      </c>
      <c r="W9" s="803"/>
      <c r="X9" s="230"/>
      <c r="Y9" s="231"/>
      <c r="Z9" s="232"/>
      <c r="AA9" s="1869" t="s">
        <v>518</v>
      </c>
      <c r="AB9" s="1870"/>
      <c r="AC9" s="1870"/>
      <c r="AD9" s="1870"/>
      <c r="AE9" s="1870"/>
      <c r="AF9" s="1871"/>
      <c r="AG9" s="233"/>
      <c r="AH9" s="235"/>
      <c r="AJ9" s="806"/>
      <c r="AK9" s="806"/>
    </row>
    <row r="10" spans="1:37" ht="15.75" customHeight="1" thickTop="1">
      <c r="A10" s="222"/>
      <c r="B10" s="222"/>
      <c r="C10" s="222"/>
      <c r="D10" s="222"/>
      <c r="E10" s="801" t="s">
        <v>178</v>
      </c>
      <c r="F10" s="802"/>
      <c r="G10" s="1875"/>
      <c r="H10" s="1875"/>
      <c r="I10" s="803"/>
      <c r="J10" s="803"/>
      <c r="K10" s="803"/>
      <c r="L10" s="1878"/>
      <c r="M10" s="804"/>
      <c r="N10" s="1881"/>
      <c r="O10" s="1884"/>
      <c r="P10" s="805"/>
      <c r="Q10" s="805"/>
      <c r="R10" s="805"/>
      <c r="S10" s="1887"/>
      <c r="T10" s="1890"/>
      <c r="U10" s="1890"/>
      <c r="V10" s="1907"/>
      <c r="W10" s="803"/>
      <c r="X10" s="230"/>
      <c r="Y10" s="231"/>
      <c r="Z10" s="232"/>
      <c r="AA10" s="860"/>
      <c r="AB10" s="592"/>
      <c r="AC10" s="592"/>
      <c r="AD10" s="592"/>
      <c r="AE10" s="592"/>
      <c r="AF10" s="658"/>
      <c r="AG10" s="233"/>
      <c r="AH10" s="235"/>
      <c r="AJ10" s="806"/>
      <c r="AK10" s="806"/>
    </row>
    <row r="11" spans="1:37" ht="15.75" customHeight="1">
      <c r="A11" s="222"/>
      <c r="B11" s="222"/>
      <c r="C11" s="222"/>
      <c r="D11" s="222"/>
      <c r="E11" s="807" t="s">
        <v>212</v>
      </c>
      <c r="F11" s="808"/>
      <c r="G11" s="1876"/>
      <c r="H11" s="1876"/>
      <c r="I11" s="803"/>
      <c r="J11" s="803"/>
      <c r="K11" s="803"/>
      <c r="L11" s="1879"/>
      <c r="M11" s="809"/>
      <c r="N11" s="1882"/>
      <c r="O11" s="1885"/>
      <c r="P11" s="803"/>
      <c r="Q11" s="803"/>
      <c r="R11" s="803"/>
      <c r="S11" s="1888"/>
      <c r="T11" s="1891"/>
      <c r="U11" s="1891"/>
      <c r="V11" s="1908"/>
      <c r="W11" s="803"/>
      <c r="X11" s="803"/>
      <c r="Y11" s="231"/>
      <c r="Z11" s="232"/>
      <c r="AA11" s="860"/>
      <c r="AB11" s="592"/>
      <c r="AC11" s="592"/>
      <c r="AD11" s="592"/>
      <c r="AE11" s="592"/>
      <c r="AF11" s="658"/>
      <c r="AG11" s="233"/>
      <c r="AH11" s="235"/>
      <c r="AJ11" s="806"/>
      <c r="AK11" s="806"/>
    </row>
    <row r="12" spans="1:37" ht="15.75" customHeight="1" thickBot="1">
      <c r="A12" s="222"/>
      <c r="B12" s="222"/>
      <c r="C12" s="222"/>
      <c r="D12" s="222"/>
      <c r="E12" s="315"/>
      <c r="F12" s="316"/>
      <c r="G12" s="316" t="s">
        <v>406</v>
      </c>
      <c r="H12" s="317" t="s">
        <v>406</v>
      </c>
      <c r="I12" s="318" t="s">
        <v>51</v>
      </c>
      <c r="J12" s="318" t="s">
        <v>61</v>
      </c>
      <c r="K12" s="318" t="s">
        <v>194</v>
      </c>
      <c r="L12" s="319" t="s">
        <v>63</v>
      </c>
      <c r="M12" s="320"/>
      <c r="N12" s="321" t="s">
        <v>63</v>
      </c>
      <c r="O12" s="322"/>
      <c r="P12" s="318"/>
      <c r="Q12" s="318"/>
      <c r="R12" s="318"/>
      <c r="S12" s="781" t="s">
        <v>406</v>
      </c>
      <c r="T12" s="782" t="s">
        <v>63</v>
      </c>
      <c r="U12" s="782" t="s">
        <v>63</v>
      </c>
      <c r="V12" s="810"/>
      <c r="W12" s="811"/>
      <c r="X12" s="803"/>
      <c r="Y12" s="231"/>
      <c r="Z12" s="232"/>
      <c r="AA12" s="860"/>
      <c r="AB12" s="592"/>
      <c r="AC12" s="592"/>
      <c r="AD12" s="592"/>
      <c r="AE12" s="592"/>
      <c r="AF12" s="658"/>
      <c r="AG12" s="233"/>
      <c r="AH12" s="235"/>
      <c r="AJ12" s="326"/>
      <c r="AK12" s="326"/>
    </row>
    <row r="13" spans="1:34" ht="15.75" customHeight="1" thickTop="1">
      <c r="A13" s="222"/>
      <c r="B13" s="222"/>
      <c r="C13" s="222"/>
      <c r="D13" s="222"/>
      <c r="E13" s="813" t="str">
        <f>InputOutput!A11</f>
        <v>Petroleum EC Fraction</v>
      </c>
      <c r="F13" s="812"/>
      <c r="G13" s="812"/>
      <c r="H13" s="814"/>
      <c r="I13" s="815"/>
      <c r="J13" s="815"/>
      <c r="K13" s="815"/>
      <c r="L13" s="816"/>
      <c r="M13" s="817"/>
      <c r="N13" s="818"/>
      <c r="O13" s="819"/>
      <c r="P13" s="815"/>
      <c r="Q13" s="815"/>
      <c r="R13" s="815"/>
      <c r="S13" s="820"/>
      <c r="T13" s="821"/>
      <c r="U13" s="821"/>
      <c r="V13" s="822"/>
      <c r="W13" s="230"/>
      <c r="X13" s="811"/>
      <c r="Y13" s="231"/>
      <c r="Z13" s="232"/>
      <c r="AA13" s="916"/>
      <c r="AB13" s="917"/>
      <c r="AC13" s="917"/>
      <c r="AD13" s="917"/>
      <c r="AE13" s="917"/>
      <c r="AF13" s="918"/>
      <c r="AG13" s="233"/>
      <c r="AH13" s="806"/>
    </row>
    <row r="14" spans="1:37" ht="15.75" customHeight="1">
      <c r="A14" s="812"/>
      <c r="B14" s="812"/>
      <c r="C14" s="812"/>
      <c r="D14" s="812"/>
      <c r="E14" s="1017" t="str">
        <f>MainForm!B13</f>
        <v>AL_EC &gt;5-6</v>
      </c>
      <c r="F14" s="323"/>
      <c r="G14" s="949">
        <v>0</v>
      </c>
      <c r="H14" s="390"/>
      <c r="I14" s="305">
        <f>VLOOKUP(E14,chemlist2,8,FALSE)</f>
        <v>1.7</v>
      </c>
      <c r="J14" s="305">
        <f>VLOOKUP(E14,chemlist2,9,FALSE)</f>
        <v>2</v>
      </c>
      <c r="K14" s="305"/>
      <c r="L14" s="306">
        <f aca="true" t="shared" si="0" ref="L14:L33">IF(G14=0,"",G14*(($G$78*J14*$G$79)/(I14*$G$76*$G$77)))</f>
      </c>
      <c r="M14" s="307"/>
      <c r="N14" s="308"/>
      <c r="O14" s="309"/>
      <c r="P14" s="310"/>
      <c r="Q14" s="310"/>
      <c r="R14" s="310">
        <f aca="true" t="shared" si="1" ref="R14:R43">G14/$G$44</f>
        <v>0</v>
      </c>
      <c r="S14" s="783">
        <f aca="true" t="shared" si="2" ref="S14:S43">IF(G14=0,"",GWCUL*R14)</f>
      </c>
      <c r="T14" s="784">
        <f aca="true" t="shared" si="3" ref="T14:T43">IF(ISERROR(S14/((I14*$G$76*$G$77)/($G$78*J14*$G$79))),"",S14/((I14*$G$76*$G$77)/($G$78*J14*$G$79)))</f>
      </c>
      <c r="U14" s="784"/>
      <c r="V14" s="785"/>
      <c r="W14" s="223"/>
      <c r="X14" s="230"/>
      <c r="Y14" s="231"/>
      <c r="Z14" s="232"/>
      <c r="AA14" s="655"/>
      <c r="AB14" s="862" t="s">
        <v>580</v>
      </c>
      <c r="AC14" s="861" t="s">
        <v>654</v>
      </c>
      <c r="AD14" s="861"/>
      <c r="AE14" s="861"/>
      <c r="AF14" s="732"/>
      <c r="AG14" s="227"/>
      <c r="AH14" s="806"/>
      <c r="AJ14" s="234"/>
      <c r="AK14" s="234"/>
    </row>
    <row r="15" spans="1:37" ht="15.75" customHeight="1">
      <c r="A15" s="222"/>
      <c r="B15" s="222"/>
      <c r="C15" s="222"/>
      <c r="D15" s="222"/>
      <c r="E15" s="1017" t="str">
        <f>MainForm!B14</f>
        <v>AL_EC &gt;6-8</v>
      </c>
      <c r="F15" s="323"/>
      <c r="G15" s="949"/>
      <c r="H15" s="390"/>
      <c r="I15" s="305">
        <f aca="true" t="shared" si="4" ref="I15:I29">VLOOKUP(E15,chemlist2,8,FALSE)</f>
        <v>1.7</v>
      </c>
      <c r="J15" s="305">
        <f aca="true" t="shared" si="5" ref="J15:J29">VLOOKUP(E15,chemlist2,9,FALSE)</f>
        <v>2</v>
      </c>
      <c r="K15" s="305"/>
      <c r="L15" s="306">
        <f t="shared" si="0"/>
      </c>
      <c r="M15" s="307"/>
      <c r="N15" s="308"/>
      <c r="O15" s="309"/>
      <c r="P15" s="310"/>
      <c r="Q15" s="310"/>
      <c r="R15" s="310">
        <f t="shared" si="1"/>
        <v>0</v>
      </c>
      <c r="S15" s="783">
        <f t="shared" si="2"/>
      </c>
      <c r="T15" s="784">
        <f t="shared" si="3"/>
      </c>
      <c r="U15" s="784"/>
      <c r="V15" s="785"/>
      <c r="W15" s="223"/>
      <c r="X15" s="223"/>
      <c r="Y15" s="231"/>
      <c r="Z15" s="232"/>
      <c r="AA15" s="736"/>
      <c r="AB15" s="919" t="s">
        <v>494</v>
      </c>
      <c r="AC15" s="920" t="s">
        <v>627</v>
      </c>
      <c r="AD15" s="920"/>
      <c r="AE15" s="920"/>
      <c r="AF15" s="747"/>
      <c r="AG15" s="823"/>
      <c r="AH15" s="806"/>
      <c r="AJ15" s="234"/>
      <c r="AK15" s="234"/>
    </row>
    <row r="16" spans="1:37" ht="15.75" customHeight="1">
      <c r="A16" s="222"/>
      <c r="B16" s="222"/>
      <c r="C16" s="222"/>
      <c r="D16" s="222"/>
      <c r="E16" s="1017" t="str">
        <f>MainForm!B15</f>
        <v>AL_EC &gt;8-10</v>
      </c>
      <c r="F16" s="323"/>
      <c r="G16" s="949">
        <v>1</v>
      </c>
      <c r="H16" s="390"/>
      <c r="I16" s="305">
        <f t="shared" si="4"/>
        <v>0.03</v>
      </c>
      <c r="J16" s="305">
        <f t="shared" si="5"/>
        <v>2</v>
      </c>
      <c r="K16" s="305"/>
      <c r="L16" s="306">
        <f t="shared" si="0"/>
        <v>0.004166666666666667</v>
      </c>
      <c r="M16" s="307"/>
      <c r="N16" s="308"/>
      <c r="O16" s="309"/>
      <c r="P16" s="310"/>
      <c r="Q16" s="310"/>
      <c r="R16" s="310">
        <f t="shared" si="1"/>
        <v>0.0035283325100557475</v>
      </c>
      <c r="S16" s="783">
        <f t="shared" si="2"/>
        <v>0.5504198715686967</v>
      </c>
      <c r="T16" s="784">
        <f t="shared" si="3"/>
        <v>0.002293416131536236</v>
      </c>
      <c r="U16" s="784"/>
      <c r="V16" s="785"/>
      <c r="W16" s="223"/>
      <c r="X16" s="223"/>
      <c r="Y16" s="231"/>
      <c r="Z16" s="232"/>
      <c r="AA16" s="655"/>
      <c r="AB16" s="222"/>
      <c r="AC16" s="905"/>
      <c r="AD16" s="594" t="s">
        <v>526</v>
      </c>
      <c r="AE16" s="1862">
        <v>156.25511940016398</v>
      </c>
      <c r="AF16" s="1863"/>
      <c r="AG16" s="227"/>
      <c r="AH16" s="806"/>
      <c r="AJ16" s="234"/>
      <c r="AK16" s="234"/>
    </row>
    <row r="17" spans="1:37" ht="15.75" customHeight="1">
      <c r="A17" s="222"/>
      <c r="B17" s="222"/>
      <c r="C17" s="222"/>
      <c r="D17" s="222"/>
      <c r="E17" s="1017" t="str">
        <f>MainForm!B16</f>
        <v>AL_EC &gt;10-12</v>
      </c>
      <c r="F17" s="323"/>
      <c r="G17" s="949">
        <v>1</v>
      </c>
      <c r="H17" s="390"/>
      <c r="I17" s="305">
        <f t="shared" si="4"/>
        <v>0.03</v>
      </c>
      <c r="J17" s="305">
        <f t="shared" si="5"/>
        <v>2</v>
      </c>
      <c r="K17" s="305"/>
      <c r="L17" s="306">
        <f t="shared" si="0"/>
        <v>0.004166666666666667</v>
      </c>
      <c r="M17" s="307"/>
      <c r="N17" s="308"/>
      <c r="O17" s="309"/>
      <c r="P17" s="310"/>
      <c r="Q17" s="310"/>
      <c r="R17" s="310">
        <f t="shared" si="1"/>
        <v>0.0035283325100557475</v>
      </c>
      <c r="S17" s="783">
        <f t="shared" si="2"/>
        <v>0.5504198715686967</v>
      </c>
      <c r="T17" s="784">
        <f t="shared" si="3"/>
        <v>0.002293416131536236</v>
      </c>
      <c r="U17" s="784"/>
      <c r="V17" s="785"/>
      <c r="W17" s="223"/>
      <c r="X17" s="223"/>
      <c r="Y17" s="231"/>
      <c r="Z17" s="232"/>
      <c r="AA17" s="655"/>
      <c r="AB17" s="222"/>
      <c r="AC17" s="906"/>
      <c r="AD17" s="594" t="s">
        <v>453</v>
      </c>
      <c r="AE17" s="1864">
        <v>0.4521743011362447</v>
      </c>
      <c r="AF17" s="1865"/>
      <c r="AG17" s="227"/>
      <c r="AH17" s="806"/>
      <c r="AJ17" s="326"/>
      <c r="AK17" s="242"/>
    </row>
    <row r="18" spans="1:37" ht="15.75" customHeight="1">
      <c r="A18" s="222"/>
      <c r="B18" s="222"/>
      <c r="C18" s="222"/>
      <c r="D18" s="222"/>
      <c r="E18" s="1017" t="str">
        <f>MainForm!B17</f>
        <v>AL_EC &gt;12-16</v>
      </c>
      <c r="F18" s="323"/>
      <c r="G18" s="949">
        <v>1</v>
      </c>
      <c r="H18" s="390"/>
      <c r="I18" s="305">
        <f t="shared" si="4"/>
        <v>0.03</v>
      </c>
      <c r="J18" s="305">
        <f t="shared" si="5"/>
        <v>1</v>
      </c>
      <c r="K18" s="305"/>
      <c r="L18" s="306">
        <f t="shared" si="0"/>
        <v>0.0020833333333333333</v>
      </c>
      <c r="M18" s="307"/>
      <c r="N18" s="308"/>
      <c r="O18" s="309"/>
      <c r="P18" s="310"/>
      <c r="Q18" s="310"/>
      <c r="R18" s="310">
        <f t="shared" si="1"/>
        <v>0.0035283325100557475</v>
      </c>
      <c r="S18" s="783">
        <f t="shared" si="2"/>
        <v>0.5504198715686967</v>
      </c>
      <c r="T18" s="784">
        <f t="shared" si="3"/>
        <v>0.001146708065768118</v>
      </c>
      <c r="U18" s="784"/>
      <c r="V18" s="785"/>
      <c r="W18" s="223"/>
      <c r="X18" s="223"/>
      <c r="Y18" s="231"/>
      <c r="Z18" s="222"/>
      <c r="AA18" s="736"/>
      <c r="AB18" s="756"/>
      <c r="AC18" s="930"/>
      <c r="AD18" s="737" t="s">
        <v>516</v>
      </c>
      <c r="AE18" s="1921">
        <v>1.0000000000000011E-05</v>
      </c>
      <c r="AF18" s="1922"/>
      <c r="AG18" s="227"/>
      <c r="AH18" s="806"/>
      <c r="AJ18" s="326"/>
      <c r="AK18" s="242"/>
    </row>
    <row r="19" spans="1:37" ht="15.75" customHeight="1">
      <c r="A19" s="222"/>
      <c r="B19" s="222"/>
      <c r="C19" s="222"/>
      <c r="D19" s="222"/>
      <c r="E19" s="1017" t="str">
        <f>MainForm!B18</f>
        <v>AL_EC &gt;16-21</v>
      </c>
      <c r="F19" s="323"/>
      <c r="G19" s="949">
        <v>1</v>
      </c>
      <c r="H19" s="390"/>
      <c r="I19" s="305">
        <f t="shared" si="4"/>
        <v>2</v>
      </c>
      <c r="J19" s="305">
        <f t="shared" si="5"/>
        <v>1</v>
      </c>
      <c r="K19" s="305"/>
      <c r="L19" s="306">
        <f t="shared" si="0"/>
        <v>3.125E-05</v>
      </c>
      <c r="M19" s="307"/>
      <c r="N19" s="308"/>
      <c r="O19" s="309"/>
      <c r="P19" s="310"/>
      <c r="Q19" s="310"/>
      <c r="R19" s="310">
        <f t="shared" si="1"/>
        <v>0.0035283325100557475</v>
      </c>
      <c r="S19" s="783">
        <f t="shared" si="2"/>
        <v>0.5504198715686967</v>
      </c>
      <c r="T19" s="784">
        <f t="shared" si="3"/>
        <v>1.720062098652177E-05</v>
      </c>
      <c r="U19" s="784"/>
      <c r="V19" s="785"/>
      <c r="W19" s="223"/>
      <c r="X19" s="223"/>
      <c r="Y19" s="231"/>
      <c r="Z19" s="226"/>
      <c r="AA19" s="1909">
        <f>IF(GW_PF="Pass",IF(GW_TPH&gt;500,"Please check WAC 246-290-310!",""),"")</f>
      </c>
      <c r="AB19" s="1910"/>
      <c r="AC19" s="1910"/>
      <c r="AD19" s="1910"/>
      <c r="AE19" s="1910"/>
      <c r="AF19" s="1911"/>
      <c r="AG19" s="227"/>
      <c r="AH19" s="234"/>
      <c r="AJ19" s="326"/>
      <c r="AK19" s="243"/>
    </row>
    <row r="20" spans="1:37" ht="15.75" customHeight="1" thickBot="1">
      <c r="A20" s="222"/>
      <c r="B20" s="222"/>
      <c r="C20" s="222"/>
      <c r="D20" s="222"/>
      <c r="E20" s="1812" t="str">
        <f>MainForm!B19</f>
        <v>AL_EC &gt;21-34</v>
      </c>
      <c r="F20" s="966"/>
      <c r="G20" s="967">
        <v>1</v>
      </c>
      <c r="H20" s="968"/>
      <c r="I20" s="969">
        <f>VLOOKUP(E20,chemlist2,8,FALSE)</f>
        <v>2</v>
      </c>
      <c r="J20" s="969">
        <f>VLOOKUP(E20,chemlist2,9,FALSE)</f>
        <v>1</v>
      </c>
      <c r="K20" s="969"/>
      <c r="L20" s="970">
        <f t="shared" si="0"/>
        <v>3.125E-05</v>
      </c>
      <c r="M20" s="971"/>
      <c r="N20" s="972"/>
      <c r="O20" s="973"/>
      <c r="P20" s="974"/>
      <c r="Q20" s="974"/>
      <c r="R20" s="974">
        <f t="shared" si="1"/>
        <v>0.0035283325100557475</v>
      </c>
      <c r="S20" s="975">
        <f t="shared" si="2"/>
        <v>0.5504198715686967</v>
      </c>
      <c r="T20" s="976">
        <f t="shared" si="3"/>
        <v>1.720062098652177E-05</v>
      </c>
      <c r="U20" s="976"/>
      <c r="V20" s="977"/>
      <c r="W20" s="223"/>
      <c r="X20" s="223"/>
      <c r="Y20" s="231"/>
      <c r="Z20" s="222"/>
      <c r="AA20" s="1895" t="s">
        <v>603</v>
      </c>
      <c r="AB20" s="1896"/>
      <c r="AC20" s="1896"/>
      <c r="AD20" s="1896"/>
      <c r="AE20" s="1896"/>
      <c r="AF20" s="1897"/>
      <c r="AG20" s="222"/>
      <c r="AH20" s="234"/>
      <c r="AI20" s="806"/>
      <c r="AJ20" s="326"/>
      <c r="AK20" s="115"/>
    </row>
    <row r="21" spans="1:34" ht="15.75" customHeight="1" thickTop="1">
      <c r="A21" s="233"/>
      <c r="B21" s="233"/>
      <c r="C21" s="233"/>
      <c r="D21" s="233"/>
      <c r="E21" s="1017" t="str">
        <f>MainForm!B20</f>
        <v>AR_EC &gt;8-10</v>
      </c>
      <c r="F21" s="323"/>
      <c r="G21" s="950">
        <v>1</v>
      </c>
      <c r="H21" s="391"/>
      <c r="I21" s="305">
        <f t="shared" si="4"/>
        <v>0.1</v>
      </c>
      <c r="J21" s="305">
        <f t="shared" si="5"/>
        <v>2</v>
      </c>
      <c r="K21" s="305"/>
      <c r="L21" s="306">
        <f t="shared" si="0"/>
        <v>0.00125</v>
      </c>
      <c r="M21" s="307"/>
      <c r="N21" s="308"/>
      <c r="O21" s="311"/>
      <c r="P21" s="312"/>
      <c r="Q21" s="312"/>
      <c r="R21" s="310">
        <f t="shared" si="1"/>
        <v>0.0035283325100557475</v>
      </c>
      <c r="S21" s="783">
        <f t="shared" si="2"/>
        <v>0.5504198715686967</v>
      </c>
      <c r="T21" s="784">
        <f t="shared" si="3"/>
        <v>0.0006880248394608708</v>
      </c>
      <c r="U21" s="784"/>
      <c r="V21" s="786"/>
      <c r="W21" s="224"/>
      <c r="X21" s="223"/>
      <c r="Y21" s="230"/>
      <c r="Z21" s="410"/>
      <c r="AA21" s="938" t="s">
        <v>525</v>
      </c>
      <c r="AB21" s="936"/>
      <c r="AC21" s="939"/>
      <c r="AD21" s="1925">
        <v>156.2551194001637</v>
      </c>
      <c r="AE21" s="1925"/>
      <c r="AF21" s="1926"/>
      <c r="AG21" s="410"/>
      <c r="AH21" s="242"/>
    </row>
    <row r="22" spans="1:36" ht="15.75" customHeight="1" thickBot="1">
      <c r="A22" s="222"/>
      <c r="B22" s="222"/>
      <c r="C22" s="222"/>
      <c r="D22" s="222"/>
      <c r="E22" s="1017" t="str">
        <f>MainForm!B21</f>
        <v>AR_EC &gt;10-12</v>
      </c>
      <c r="F22" s="323"/>
      <c r="G22" s="949">
        <v>1</v>
      </c>
      <c r="H22" s="391"/>
      <c r="I22" s="305">
        <f t="shared" si="4"/>
        <v>0.02</v>
      </c>
      <c r="J22" s="305">
        <f t="shared" si="5"/>
        <v>2</v>
      </c>
      <c r="K22" s="305"/>
      <c r="L22" s="306">
        <f t="shared" si="0"/>
        <v>0.00625</v>
      </c>
      <c r="M22" s="307"/>
      <c r="N22" s="308"/>
      <c r="O22" s="311"/>
      <c r="P22" s="312"/>
      <c r="Q22" s="312"/>
      <c r="R22" s="310">
        <f t="shared" si="1"/>
        <v>0.0035283325100557475</v>
      </c>
      <c r="S22" s="783">
        <f t="shared" si="2"/>
        <v>0.5504198715686967</v>
      </c>
      <c r="T22" s="784">
        <f t="shared" si="3"/>
        <v>0.003440124197304354</v>
      </c>
      <c r="U22" s="784"/>
      <c r="V22" s="786"/>
      <c r="W22" s="224"/>
      <c r="X22" s="223"/>
      <c r="Y22" s="225"/>
      <c r="Z22" s="223"/>
      <c r="AA22" s="940" t="s">
        <v>576</v>
      </c>
      <c r="AB22" s="937"/>
      <c r="AC22" s="941"/>
      <c r="AD22" s="1927" t="s">
        <v>455</v>
      </c>
      <c r="AE22" s="1927"/>
      <c r="AF22" s="1928"/>
      <c r="AG22" s="679"/>
      <c r="AH22" s="242"/>
      <c r="AI22" s="234"/>
      <c r="AJ22" s="327"/>
    </row>
    <row r="23" spans="1:36" ht="15.75" customHeight="1" thickTop="1">
      <c r="A23" s="222"/>
      <c r="B23" s="222"/>
      <c r="C23" s="222"/>
      <c r="D23" s="222"/>
      <c r="E23" s="1017" t="str">
        <f>MainForm!B22</f>
        <v>AR_EC &gt;12-16</v>
      </c>
      <c r="F23" s="323"/>
      <c r="G23" s="949"/>
      <c r="H23" s="391"/>
      <c r="I23" s="305">
        <f t="shared" si="4"/>
        <v>0.05</v>
      </c>
      <c r="J23" s="305">
        <f t="shared" si="5"/>
        <v>1</v>
      </c>
      <c r="K23" s="305"/>
      <c r="L23" s="306">
        <f t="shared" si="0"/>
      </c>
      <c r="M23" s="307"/>
      <c r="N23" s="308"/>
      <c r="O23" s="311"/>
      <c r="P23" s="312"/>
      <c r="Q23" s="312"/>
      <c r="R23" s="310">
        <f t="shared" si="1"/>
        <v>0</v>
      </c>
      <c r="S23" s="783">
        <f t="shared" si="2"/>
      </c>
      <c r="T23" s="784">
        <f t="shared" si="3"/>
      </c>
      <c r="U23" s="784"/>
      <c r="V23" s="786"/>
      <c r="W23" s="224"/>
      <c r="X23" s="223"/>
      <c r="Y23" s="225"/>
      <c r="Z23" s="410"/>
      <c r="AA23" s="1915" t="s">
        <v>500</v>
      </c>
      <c r="AB23" s="1916"/>
      <c r="AC23" s="1860" t="s">
        <v>494</v>
      </c>
      <c r="AD23" s="1858" t="s">
        <v>424</v>
      </c>
      <c r="AE23" s="1860" t="s">
        <v>528</v>
      </c>
      <c r="AF23" s="1904" t="s">
        <v>529</v>
      </c>
      <c r="AG23" s="679"/>
      <c r="AH23" s="858"/>
      <c r="AI23" s="806"/>
      <c r="AJ23" s="698"/>
    </row>
    <row r="24" spans="1:37" ht="15.75" customHeight="1">
      <c r="A24" s="222"/>
      <c r="B24" s="222"/>
      <c r="C24" s="222"/>
      <c r="D24" s="222"/>
      <c r="E24" s="1017" t="str">
        <f>MainForm!B23</f>
        <v>AR_EC &gt;16-21</v>
      </c>
      <c r="F24" s="323"/>
      <c r="G24" s="949">
        <v>1</v>
      </c>
      <c r="H24" s="391"/>
      <c r="I24" s="305">
        <f t="shared" si="4"/>
        <v>0.03</v>
      </c>
      <c r="J24" s="305">
        <f t="shared" si="5"/>
        <v>1</v>
      </c>
      <c r="K24" s="305"/>
      <c r="L24" s="306">
        <f t="shared" si="0"/>
        <v>0.0020833333333333333</v>
      </c>
      <c r="M24" s="307"/>
      <c r="N24" s="308"/>
      <c r="O24" s="311"/>
      <c r="P24" s="312"/>
      <c r="Q24" s="312"/>
      <c r="R24" s="310">
        <f t="shared" si="1"/>
        <v>0.0035283325100557475</v>
      </c>
      <c r="S24" s="783">
        <f t="shared" si="2"/>
        <v>0.5504198715686967</v>
      </c>
      <c r="T24" s="784">
        <f t="shared" si="3"/>
        <v>0.001146708065768118</v>
      </c>
      <c r="U24" s="784"/>
      <c r="V24" s="786"/>
      <c r="W24" s="224"/>
      <c r="X24" s="223"/>
      <c r="Y24" s="223"/>
      <c r="Z24" s="410"/>
      <c r="AA24" s="1917"/>
      <c r="AB24" s="1918"/>
      <c r="AC24" s="1861"/>
      <c r="AD24" s="1859"/>
      <c r="AE24" s="1861"/>
      <c r="AF24" s="1905"/>
      <c r="AG24" s="222"/>
      <c r="AH24" s="858"/>
      <c r="AI24" s="806"/>
      <c r="AJ24" s="699"/>
      <c r="AK24" s="326"/>
    </row>
    <row r="25" spans="1:36" ht="15.75" customHeight="1" thickBot="1">
      <c r="A25" s="222"/>
      <c r="B25" s="222"/>
      <c r="C25" s="222"/>
      <c r="D25" s="222"/>
      <c r="E25" s="1596" t="str">
        <f>MainForm!B24</f>
        <v>AR_EC &gt;21-34</v>
      </c>
      <c r="F25" s="824"/>
      <c r="G25" s="951">
        <v>0</v>
      </c>
      <c r="H25" s="825"/>
      <c r="I25" s="826">
        <f t="shared" si="4"/>
        <v>0.04</v>
      </c>
      <c r="J25" s="826">
        <f t="shared" si="5"/>
        <v>1</v>
      </c>
      <c r="K25" s="826"/>
      <c r="L25" s="827">
        <f t="shared" si="0"/>
      </c>
      <c r="M25" s="828"/>
      <c r="N25" s="829"/>
      <c r="O25" s="830"/>
      <c r="P25" s="831"/>
      <c r="Q25" s="831"/>
      <c r="R25" s="832">
        <f t="shared" si="1"/>
        <v>0</v>
      </c>
      <c r="S25" s="787">
        <f t="shared" si="2"/>
      </c>
      <c r="T25" s="833">
        <f t="shared" si="3"/>
      </c>
      <c r="U25" s="833"/>
      <c r="V25" s="834"/>
      <c r="W25" s="224"/>
      <c r="X25" s="835"/>
      <c r="Y25" s="835"/>
      <c r="Z25" s="410"/>
      <c r="AA25" s="736" t="s">
        <v>524</v>
      </c>
      <c r="AB25" s="756"/>
      <c r="AC25" s="910" t="s">
        <v>631</v>
      </c>
      <c r="AD25" s="912">
        <v>345.5639097744362</v>
      </c>
      <c r="AE25" s="910">
        <v>2.211536563416263E-05</v>
      </c>
      <c r="AF25" s="911">
        <v>1</v>
      </c>
      <c r="AG25" s="222"/>
      <c r="AH25" s="680"/>
      <c r="AI25" s="326"/>
      <c r="AJ25" s="700"/>
    </row>
    <row r="26" spans="1:36" ht="15.75" customHeight="1">
      <c r="A26" s="222"/>
      <c r="B26" s="222"/>
      <c r="C26" s="222"/>
      <c r="D26" s="222"/>
      <c r="E26" s="1017" t="str">
        <f>MainForm!B25</f>
        <v>Benzene</v>
      </c>
      <c r="F26" s="323"/>
      <c r="G26" s="950">
        <v>6</v>
      </c>
      <c r="H26" s="391">
        <v>5</v>
      </c>
      <c r="I26" s="305">
        <f t="shared" si="4"/>
        <v>0.004</v>
      </c>
      <c r="J26" s="305">
        <f>VLOOKUP(E26,chemlist2,9,FALSE)</f>
        <v>2</v>
      </c>
      <c r="K26" s="305">
        <f>VLOOKUP(E26,chemlist2,14,FALSE)</f>
        <v>0.055</v>
      </c>
      <c r="L26" s="306">
        <f t="shared" si="0"/>
        <v>0.1875</v>
      </c>
      <c r="M26" s="307"/>
      <c r="N26" s="308">
        <f>IF(G26=0,"",G26/(($G$81*$G$83*$G$82)/(K26*$G$84*$G$85*J26*$G$86)))</f>
        <v>7.542857142857142E-06</v>
      </c>
      <c r="O26" s="311" t="str">
        <f>IF(P26=1,"Fail","")</f>
        <v>Fail</v>
      </c>
      <c r="P26" s="409">
        <f>IF((H26+0.00001)&lt;G26,1,)</f>
        <v>1</v>
      </c>
      <c r="Q26" s="312"/>
      <c r="R26" s="310">
        <f t="shared" si="1"/>
        <v>0.021169995060334484</v>
      </c>
      <c r="S26" s="783">
        <f t="shared" si="2"/>
        <v>3.3025192294121797</v>
      </c>
      <c r="T26" s="784">
        <f t="shared" si="3"/>
        <v>0.10320372591913061</v>
      </c>
      <c r="U26" s="784">
        <f>IF(G26=0,"",S26/(($G$81*$G$83*$G$82)/(K26*$G$84*$G$85*J26*$G$86)))</f>
        <v>4.151738459832454E-06</v>
      </c>
      <c r="V26" s="786">
        <f>IF(W26=1,"Fail","")</f>
      </c>
      <c r="W26" s="409">
        <f>IF(G26=0,"",IF((H26+0.00001)&lt;S26,1,))</f>
        <v>0</v>
      </c>
      <c r="X26" s="223"/>
      <c r="Y26" s="223"/>
      <c r="Z26" s="410"/>
      <c r="AA26" s="735" t="s">
        <v>455</v>
      </c>
      <c r="AB26" s="859"/>
      <c r="AC26" s="900" t="s">
        <v>627</v>
      </c>
      <c r="AD26" s="913">
        <v>156.2551194001637</v>
      </c>
      <c r="AE26" s="900">
        <v>9.999999999999989E-06</v>
      </c>
      <c r="AF26" s="901">
        <v>0.4521743011362439</v>
      </c>
      <c r="AG26" s="222"/>
      <c r="AH26" s="858"/>
      <c r="AI26" s="326"/>
      <c r="AJ26" s="411"/>
    </row>
    <row r="27" spans="1:36" ht="15.75" customHeight="1">
      <c r="A27" s="222"/>
      <c r="B27" s="222"/>
      <c r="C27" s="222"/>
      <c r="D27" s="222"/>
      <c r="E27" s="1017" t="str">
        <f>MainForm!B26</f>
        <v>Toluene</v>
      </c>
      <c r="F27" s="323"/>
      <c r="G27" s="949">
        <v>23</v>
      </c>
      <c r="H27" s="391">
        <v>1000</v>
      </c>
      <c r="I27" s="305">
        <f t="shared" si="4"/>
        <v>0.08</v>
      </c>
      <c r="J27" s="305">
        <f t="shared" si="5"/>
        <v>2</v>
      </c>
      <c r="K27" s="305"/>
      <c r="L27" s="306">
        <f t="shared" si="0"/>
        <v>0.035937500000000004</v>
      </c>
      <c r="M27" s="307"/>
      <c r="N27" s="308"/>
      <c r="O27" s="311">
        <f aca="true" t="shared" si="6" ref="O27:O36">IF(P27=1,"Fail","")</f>
      </c>
      <c r="P27" s="409">
        <f aca="true" t="shared" si="7" ref="P27:P36">IF((H27+0.00001)&lt;G27,1,)</f>
        <v>0</v>
      </c>
      <c r="Q27" s="312"/>
      <c r="R27" s="310">
        <f t="shared" si="1"/>
        <v>0.0811516477312822</v>
      </c>
      <c r="S27" s="783">
        <f t="shared" si="2"/>
        <v>12.659657046080023</v>
      </c>
      <c r="T27" s="784">
        <f t="shared" si="3"/>
        <v>0.019780714134500034</v>
      </c>
      <c r="U27" s="784"/>
      <c r="V27" s="786">
        <f aca="true" t="shared" si="8" ref="V27:V36">IF(W27=1,"Fail","")</f>
      </c>
      <c r="W27" s="409">
        <f>IF(G27=0,"",IF((H27+0.00001)&lt;S27,1,))</f>
        <v>0</v>
      </c>
      <c r="X27" s="223"/>
      <c r="Y27" s="223"/>
      <c r="Z27" s="410"/>
      <c r="AA27" s="735" t="s">
        <v>456</v>
      </c>
      <c r="AB27" s="859"/>
      <c r="AC27" s="900" t="s">
        <v>627</v>
      </c>
      <c r="AD27" s="913">
        <v>15.625511940016391</v>
      </c>
      <c r="AE27" s="900">
        <v>1.0000000000000004E-06</v>
      </c>
      <c r="AF27" s="901">
        <v>0.04521743011362445</v>
      </c>
      <c r="AG27" s="222"/>
      <c r="AH27" s="680"/>
      <c r="AI27" s="326"/>
      <c r="AJ27" s="411"/>
    </row>
    <row r="28" spans="1:36" ht="15.75" customHeight="1">
      <c r="A28" s="222"/>
      <c r="B28" s="222"/>
      <c r="C28" s="222"/>
      <c r="D28" s="222"/>
      <c r="E28" s="1017" t="str">
        <f>MainForm!B27</f>
        <v>Ethylbenzene</v>
      </c>
      <c r="F28" s="323"/>
      <c r="G28" s="949">
        <v>23</v>
      </c>
      <c r="H28" s="391">
        <v>700</v>
      </c>
      <c r="I28" s="305">
        <f t="shared" si="4"/>
        <v>0.1</v>
      </c>
      <c r="J28" s="305">
        <f t="shared" si="5"/>
        <v>2</v>
      </c>
      <c r="K28" s="305"/>
      <c r="L28" s="306">
        <f t="shared" si="0"/>
        <v>0.02875</v>
      </c>
      <c r="M28" s="307"/>
      <c r="N28" s="308"/>
      <c r="O28" s="311">
        <f t="shared" si="6"/>
      </c>
      <c r="P28" s="409">
        <f t="shared" si="7"/>
        <v>0</v>
      </c>
      <c r="Q28" s="312"/>
      <c r="R28" s="310">
        <f t="shared" si="1"/>
        <v>0.0811516477312822</v>
      </c>
      <c r="S28" s="783">
        <f t="shared" si="2"/>
        <v>12.659657046080023</v>
      </c>
      <c r="T28" s="784">
        <f t="shared" si="3"/>
        <v>0.015824571307600028</v>
      </c>
      <c r="U28" s="784"/>
      <c r="V28" s="786">
        <f t="shared" si="8"/>
      </c>
      <c r="W28" s="409">
        <f>IF(G28=0,"",IF((H28+0.00001)&lt;S28,1,))</f>
        <v>0</v>
      </c>
      <c r="X28" s="223"/>
      <c r="Y28" s="223"/>
      <c r="Z28" s="410"/>
      <c r="AA28" s="735" t="s">
        <v>504</v>
      </c>
      <c r="AB28" s="859"/>
      <c r="AC28" s="900" t="s">
        <v>631</v>
      </c>
      <c r="AD28" s="913">
        <v>236.18333333333334</v>
      </c>
      <c r="AE28" s="900">
        <v>1.5115238095238094E-05</v>
      </c>
      <c r="AF28" s="901">
        <v>0.6834722222222223</v>
      </c>
      <c r="AG28" s="222"/>
      <c r="AH28" s="680"/>
      <c r="AJ28" s="718"/>
    </row>
    <row r="29" spans="1:36" ht="15.75" customHeight="1" thickBot="1">
      <c r="A29" s="222"/>
      <c r="B29" s="222"/>
      <c r="C29" s="222"/>
      <c r="D29" s="222"/>
      <c r="E29" s="1596" t="str">
        <f>MainForm!B28</f>
        <v>Total Xylenes</v>
      </c>
      <c r="F29" s="836"/>
      <c r="G29" s="952">
        <v>200</v>
      </c>
      <c r="H29" s="825">
        <v>1000</v>
      </c>
      <c r="I29" s="826">
        <f t="shared" si="4"/>
        <v>0.2</v>
      </c>
      <c r="J29" s="826">
        <f t="shared" si="5"/>
        <v>2</v>
      </c>
      <c r="K29" s="826"/>
      <c r="L29" s="827">
        <f t="shared" si="0"/>
        <v>0.125</v>
      </c>
      <c r="M29" s="828"/>
      <c r="N29" s="829"/>
      <c r="O29" s="830">
        <f t="shared" si="6"/>
      </c>
      <c r="P29" s="837">
        <f t="shared" si="7"/>
        <v>0</v>
      </c>
      <c r="Q29" s="831"/>
      <c r="R29" s="832">
        <f t="shared" si="1"/>
        <v>0.7056665020111494</v>
      </c>
      <c r="S29" s="787">
        <f t="shared" si="2"/>
        <v>110.08397431373932</v>
      </c>
      <c r="T29" s="833">
        <f t="shared" si="3"/>
        <v>0.06880248394608707</v>
      </c>
      <c r="U29" s="833"/>
      <c r="V29" s="834">
        <f t="shared" si="8"/>
      </c>
      <c r="W29" s="409">
        <f>IF(G29=0,"",IF((H29+0.00001)&lt;S29,1,))</f>
        <v>0</v>
      </c>
      <c r="X29" s="223"/>
      <c r="Y29" s="223"/>
      <c r="Z29" s="410"/>
      <c r="AA29" s="735" t="s">
        <v>505</v>
      </c>
      <c r="AB29" s="859"/>
      <c r="AC29" s="900" t="s">
        <v>631</v>
      </c>
      <c r="AD29" s="913">
        <v>5668.4</v>
      </c>
      <c r="AE29" s="900">
        <v>0.00036276571428571415</v>
      </c>
      <c r="AF29" s="901">
        <v>16.40333333333333</v>
      </c>
      <c r="AG29" s="222"/>
      <c r="AH29" s="904"/>
      <c r="AI29" s="700"/>
      <c r="AJ29" s="719"/>
    </row>
    <row r="30" spans="1:36" ht="15.75" customHeight="1">
      <c r="A30" s="222"/>
      <c r="B30" s="222"/>
      <c r="C30" s="222"/>
      <c r="D30" s="222"/>
      <c r="E30" s="1017" t="str">
        <f>MainForm!B29</f>
        <v>Naphthalene</v>
      </c>
      <c r="F30" s="323"/>
      <c r="G30" s="950">
        <v>5</v>
      </c>
      <c r="H30" s="392">
        <v>160</v>
      </c>
      <c r="I30" s="305">
        <f>IF(ISBLANK(VLOOKUP(E30,chemlist2,8,FALSE)),"",VLOOKUP(E30,chemlist2,8,FALSE))</f>
        <v>0.02</v>
      </c>
      <c r="J30" s="305">
        <f>IF(ISBLANK(VLOOKUP(E30,chemlist2,9,FALSE)),"",VLOOKUP(E30,chemlist2,9,FALSE))</f>
        <v>2</v>
      </c>
      <c r="K30" s="305"/>
      <c r="L30" s="306">
        <f t="shared" si="0"/>
        <v>0.03125</v>
      </c>
      <c r="M30" s="307"/>
      <c r="N30" s="308"/>
      <c r="O30" s="311"/>
      <c r="P30" s="409">
        <f t="shared" si="7"/>
        <v>0</v>
      </c>
      <c r="Q30" s="312"/>
      <c r="R30" s="310">
        <f t="shared" si="1"/>
        <v>0.017641662550278738</v>
      </c>
      <c r="S30" s="783">
        <f t="shared" si="2"/>
        <v>2.752099357843483</v>
      </c>
      <c r="T30" s="784">
        <f t="shared" si="3"/>
        <v>0.01720062098652177</v>
      </c>
      <c r="U30" s="784"/>
      <c r="V30" s="786">
        <f t="shared" si="8"/>
      </c>
      <c r="W30" s="409">
        <f>IF(G30=0,"",IF((H30+0.00001)&lt;S30,1,))</f>
        <v>0</v>
      </c>
      <c r="X30" s="223"/>
      <c r="Y30" s="223"/>
      <c r="Z30" s="410"/>
      <c r="AA30" s="735" t="s">
        <v>469</v>
      </c>
      <c r="AB30" s="859"/>
      <c r="AC30" s="900" t="s">
        <v>631</v>
      </c>
      <c r="AD30" s="913">
        <v>267.4927192320147</v>
      </c>
      <c r="AE30" s="900">
        <v>1.711897314205593E-05</v>
      </c>
      <c r="AF30" s="901">
        <v>0.7740759716679275</v>
      </c>
      <c r="AG30" s="222"/>
      <c r="AH30" s="696"/>
      <c r="AI30" s="411"/>
      <c r="AJ30" s="720"/>
    </row>
    <row r="31" spans="1:36" ht="15.75" customHeight="1">
      <c r="A31" s="222"/>
      <c r="B31" s="222"/>
      <c r="C31" s="222"/>
      <c r="D31" s="222"/>
      <c r="E31" s="1017" t="str">
        <f>MainForm!B30</f>
        <v>1-Methyl Naphthalene</v>
      </c>
      <c r="F31" s="323"/>
      <c r="G31" s="950">
        <v>2</v>
      </c>
      <c r="H31" s="392"/>
      <c r="I31" s="305">
        <f>IF(ISBLANK(VLOOKUP(E31,chemlist2,8,FALSE)),"",VLOOKUP(E31,chemlist2,8,FALSE))</f>
        <v>0.05</v>
      </c>
      <c r="J31" s="305">
        <f>IF(ISBLANK(VLOOKUP(E31,chemlist2,9,FALSE)),"",VLOOKUP(E31,chemlist2,9,FALSE))</f>
        <v>2</v>
      </c>
      <c r="K31" s="305"/>
      <c r="L31" s="306">
        <f t="shared" si="0"/>
        <v>0.005</v>
      </c>
      <c r="M31" s="307"/>
      <c r="N31" s="308"/>
      <c r="O31" s="311"/>
      <c r="P31" s="409"/>
      <c r="Q31" s="312"/>
      <c r="R31" s="310">
        <f t="shared" si="1"/>
        <v>0.007056665020111495</v>
      </c>
      <c r="S31" s="783">
        <f t="shared" si="2"/>
        <v>1.1008397431373933</v>
      </c>
      <c r="T31" s="784">
        <f t="shared" si="3"/>
        <v>0.002752099357843483</v>
      </c>
      <c r="U31" s="784"/>
      <c r="V31" s="786"/>
      <c r="W31" s="409"/>
      <c r="X31" s="223"/>
      <c r="Y31" s="223"/>
      <c r="Z31" s="410"/>
      <c r="AA31" s="1600" t="s">
        <v>561</v>
      </c>
      <c r="AB31" s="1601"/>
      <c r="AC31" s="900" t="s">
        <v>631</v>
      </c>
      <c r="AD31" s="900">
        <v>12322.608695652174</v>
      </c>
      <c r="AE31" s="900">
        <v>0.0007886211180124222</v>
      </c>
      <c r="AF31" s="901">
        <v>35.65942028985507</v>
      </c>
      <c r="AG31" s="222"/>
      <c r="AH31" s="239"/>
      <c r="AI31" s="411"/>
      <c r="AJ31" s="721"/>
    </row>
    <row r="32" spans="1:36" ht="15.75" customHeight="1">
      <c r="A32" s="222"/>
      <c r="B32" s="222"/>
      <c r="C32" s="222"/>
      <c r="D32" s="222"/>
      <c r="E32" s="1017" t="str">
        <f>MainForm!B31</f>
        <v>2-Methyl Naphthalene</v>
      </c>
      <c r="F32" s="323"/>
      <c r="G32" s="950">
        <v>12</v>
      </c>
      <c r="H32" s="392"/>
      <c r="I32" s="305">
        <f>IF(ISBLANK(VLOOKUP(E32,chemlist2,8,FALSE)),"",VLOOKUP(E32,chemlist2,8,FALSE))</f>
        <v>0.004</v>
      </c>
      <c r="J32" s="305">
        <f>IF(ISBLANK(VLOOKUP(E32,chemlist2,9,FALSE)),"",VLOOKUP(E32,chemlist2,9,FALSE))</f>
        <v>2</v>
      </c>
      <c r="K32" s="305"/>
      <c r="L32" s="306">
        <f t="shared" si="0"/>
        <v>0.375</v>
      </c>
      <c r="M32" s="307"/>
      <c r="N32" s="308"/>
      <c r="O32" s="311"/>
      <c r="P32" s="409"/>
      <c r="Q32" s="312"/>
      <c r="R32" s="310">
        <f t="shared" si="1"/>
        <v>0.04233999012066897</v>
      </c>
      <c r="S32" s="783">
        <f t="shared" si="2"/>
        <v>6.605038458824359</v>
      </c>
      <c r="T32" s="784">
        <f t="shared" si="3"/>
        <v>0.20640745183826123</v>
      </c>
      <c r="U32" s="784"/>
      <c r="V32" s="786"/>
      <c r="W32" s="409"/>
      <c r="X32" s="223"/>
      <c r="Y32" s="223"/>
      <c r="Z32" s="410"/>
      <c r="AA32" s="1185" t="s">
        <v>563</v>
      </c>
      <c r="AB32" s="1186"/>
      <c r="AC32" s="1189" t="s">
        <v>631</v>
      </c>
      <c r="AD32" s="900">
        <v>8625.82608695652</v>
      </c>
      <c r="AE32" s="900">
        <v>0.0005520347826086955</v>
      </c>
      <c r="AF32" s="901">
        <v>24.961594202898546</v>
      </c>
      <c r="AG32" s="222"/>
      <c r="AH32" s="239"/>
      <c r="AI32" s="716"/>
      <c r="AJ32" s="722"/>
    </row>
    <row r="33" spans="1:36" ht="15.75" customHeight="1" thickBot="1">
      <c r="A33" s="222"/>
      <c r="B33" s="222"/>
      <c r="C33" s="222"/>
      <c r="D33" s="222"/>
      <c r="E33" s="1017" t="str">
        <f>MainForm!B32</f>
        <v>n-Hexane</v>
      </c>
      <c r="F33" s="323"/>
      <c r="G33" s="949">
        <v>2</v>
      </c>
      <c r="H33" s="392"/>
      <c r="I33" s="305">
        <f aca="true" t="shared" si="9" ref="I33:I43">IF(ISBLANK(VLOOKUP(E33,chemlist2,8,FALSE)),"",VLOOKUP(E33,chemlist2,8,FALSE))</f>
        <v>0.06</v>
      </c>
      <c r="J33" s="305">
        <f aca="true" t="shared" si="10" ref="J33:J43">IF(ISBLANK(VLOOKUP(E33,chemlist2,9,FALSE)),"",VLOOKUP(E33,chemlist2,9,FALSE))</f>
        <v>2</v>
      </c>
      <c r="K33" s="305"/>
      <c r="L33" s="306">
        <f t="shared" si="0"/>
        <v>0.004166666666666667</v>
      </c>
      <c r="M33" s="307"/>
      <c r="N33" s="308"/>
      <c r="O33" s="311"/>
      <c r="P33" s="409"/>
      <c r="Q33" s="312"/>
      <c r="R33" s="310">
        <f t="shared" si="1"/>
        <v>0.007056665020111495</v>
      </c>
      <c r="S33" s="783">
        <f t="shared" si="2"/>
        <v>1.1008397431373933</v>
      </c>
      <c r="T33" s="784">
        <f t="shared" si="3"/>
        <v>0.002293416131536236</v>
      </c>
      <c r="U33" s="784"/>
      <c r="V33" s="786"/>
      <c r="W33" s="409"/>
      <c r="X33" s="223"/>
      <c r="Y33" s="223"/>
      <c r="Z33" s="410"/>
      <c r="AA33" s="1187" t="s">
        <v>562</v>
      </c>
      <c r="AB33" s="1188"/>
      <c r="AC33" s="902" t="s">
        <v>631</v>
      </c>
      <c r="AD33" s="902">
        <v>1417.1</v>
      </c>
      <c r="AE33" s="902">
        <v>9.069142857142854E-05</v>
      </c>
      <c r="AF33" s="903">
        <v>4.100833333333332</v>
      </c>
      <c r="AG33" s="839"/>
      <c r="AH33" s="239"/>
      <c r="AI33" s="718"/>
      <c r="AJ33" s="724"/>
    </row>
    <row r="34" spans="1:36" ht="15.75" customHeight="1">
      <c r="A34" s="222"/>
      <c r="B34" s="222"/>
      <c r="C34" s="222"/>
      <c r="D34" s="222"/>
      <c r="E34" s="1017" t="str">
        <f>MainForm!B33</f>
        <v>MTBE</v>
      </c>
      <c r="F34" s="323"/>
      <c r="G34" s="949">
        <v>1</v>
      </c>
      <c r="H34" s="392">
        <v>20</v>
      </c>
      <c r="I34" s="305">
        <f t="shared" si="9"/>
      </c>
      <c r="J34" s="305">
        <f t="shared" si="10"/>
        <v>2</v>
      </c>
      <c r="K34" s="305">
        <f>IF(ISBLANK(VLOOKUP(E34,chemlist2,14,FALSE)),"",VLOOKUP(E34,chemlist2,14,FALSE))</f>
      </c>
      <c r="L34" s="306"/>
      <c r="M34" s="307"/>
      <c r="N34" s="308"/>
      <c r="O34" s="311">
        <f t="shared" si="6"/>
      </c>
      <c r="P34" s="409">
        <f t="shared" si="7"/>
        <v>0</v>
      </c>
      <c r="Q34" s="312"/>
      <c r="R34" s="310">
        <f t="shared" si="1"/>
        <v>0.0035283325100557475</v>
      </c>
      <c r="S34" s="783">
        <f t="shared" si="2"/>
        <v>0.5504198715686967</v>
      </c>
      <c r="T34" s="784">
        <f t="shared" si="3"/>
      </c>
      <c r="U34" s="784"/>
      <c r="V34" s="786">
        <f t="shared" si="8"/>
      </c>
      <c r="W34" s="409">
        <f>IF(G34=0,"",IF((H34+0.00001)&lt;S34,1,))</f>
        <v>0</v>
      </c>
      <c r="X34" s="223"/>
      <c r="Y34" s="223"/>
      <c r="Z34" s="410"/>
      <c r="AA34" s="222"/>
      <c r="AB34" s="222"/>
      <c r="AC34" s="222"/>
      <c r="AD34" s="222"/>
      <c r="AE34" s="222"/>
      <c r="AF34" s="222"/>
      <c r="AG34" s="839"/>
      <c r="AH34" s="239"/>
      <c r="AI34" s="719"/>
      <c r="AJ34" s="724"/>
    </row>
    <row r="35" spans="1:36" ht="15.75" customHeight="1" thickBot="1">
      <c r="A35" s="222"/>
      <c r="B35" s="222"/>
      <c r="C35" s="222"/>
      <c r="D35" s="222"/>
      <c r="E35" s="1017" t="str">
        <f>MainForm!B34</f>
        <v>Ethylene Dibromide (EDB)</v>
      </c>
      <c r="F35" s="323"/>
      <c r="G35" s="949"/>
      <c r="H35" s="392">
        <v>0.01</v>
      </c>
      <c r="I35" s="305">
        <f t="shared" si="9"/>
        <v>0.009</v>
      </c>
      <c r="J35" s="305">
        <f t="shared" si="10"/>
        <v>2</v>
      </c>
      <c r="K35" s="305">
        <f aca="true" t="shared" si="11" ref="K35:K43">IF(ISBLANK(VLOOKUP(E35,chemlist2,14,FALSE)),"",VLOOKUP(E35,chemlist2,14,FALSE))</f>
        <v>85</v>
      </c>
      <c r="L35" s="306">
        <f>IF(G35=0,"",G35*(($G$78*J35*$G$79)/(I35*$G$76*$G$77)))</f>
      </c>
      <c r="M35" s="307"/>
      <c r="N35" s="308">
        <f aca="true" t="shared" si="12" ref="N35:N43">IF(G35=0,"",G35/(($G$81*$G$83*$G$82)/(K35*$G$84*$G$85*J35*$G$86)))</f>
      </c>
      <c r="O35" s="311">
        <f t="shared" si="6"/>
      </c>
      <c r="P35" s="409">
        <f t="shared" si="7"/>
        <v>0</v>
      </c>
      <c r="Q35" s="312"/>
      <c r="R35" s="310">
        <f t="shared" si="1"/>
        <v>0</v>
      </c>
      <c r="S35" s="783">
        <f t="shared" si="2"/>
      </c>
      <c r="T35" s="784">
        <f t="shared" si="3"/>
      </c>
      <c r="U35" s="784">
        <f aca="true" t="shared" si="13" ref="U35:U43">IF(G35=0,"",S35/(($G$81*$G$83*$G$82)/(K35*$G$84*$G$85*J35*$G$86)))</f>
      </c>
      <c r="V35" s="786">
        <f t="shared" si="8"/>
      </c>
      <c r="W35" s="409">
        <f>IF(G35=0,"",IF((H35+0.00001)&lt;S35,1,))</f>
      </c>
      <c r="X35" s="223"/>
      <c r="Y35" s="223"/>
      <c r="Z35" s="410"/>
      <c r="AA35" s="222"/>
      <c r="AB35" s="225"/>
      <c r="AC35" s="225"/>
      <c r="AD35" s="225"/>
      <c r="AE35" s="225"/>
      <c r="AF35" s="772"/>
      <c r="AG35" s="839"/>
      <c r="AH35" s="239"/>
      <c r="AI35" s="720"/>
      <c r="AJ35" s="724"/>
    </row>
    <row r="36" spans="1:36" ht="15.75" customHeight="1" thickBot="1">
      <c r="A36" s="222"/>
      <c r="B36" s="222"/>
      <c r="C36" s="222"/>
      <c r="D36" s="222"/>
      <c r="E36" s="1596" t="str">
        <f>MainForm!B35</f>
        <v>1,2 Dichloroethane (EDC)</v>
      </c>
      <c r="F36" s="836"/>
      <c r="G36" s="951"/>
      <c r="H36" s="393">
        <v>5</v>
      </c>
      <c r="I36" s="826">
        <f t="shared" si="9"/>
        <v>0.03</v>
      </c>
      <c r="J36" s="826">
        <f t="shared" si="10"/>
        <v>2</v>
      </c>
      <c r="K36" s="826">
        <f t="shared" si="11"/>
        <v>0.091</v>
      </c>
      <c r="L36" s="827">
        <f>IF(G36=0,"",G36*(($G$78*J36*$G$79)/(I36*$G$76*$G$77)))</f>
      </c>
      <c r="M36" s="828"/>
      <c r="N36" s="829">
        <f t="shared" si="12"/>
      </c>
      <c r="O36" s="830">
        <f t="shared" si="6"/>
      </c>
      <c r="P36" s="837">
        <f t="shared" si="7"/>
        <v>0</v>
      </c>
      <c r="Q36" s="831"/>
      <c r="R36" s="832">
        <f t="shared" si="1"/>
        <v>0</v>
      </c>
      <c r="S36" s="787">
        <f t="shared" si="2"/>
      </c>
      <c r="T36" s="833">
        <f t="shared" si="3"/>
      </c>
      <c r="U36" s="833">
        <f t="shared" si="13"/>
      </c>
      <c r="V36" s="834">
        <f t="shared" si="8"/>
      </c>
      <c r="W36" s="409">
        <f>IF(G36=0,"",IF((H36+0.00001)&lt;S36,1,))</f>
      </c>
      <c r="X36" s="223"/>
      <c r="Y36" s="223"/>
      <c r="Z36" s="410"/>
      <c r="AA36" s="1869" t="s">
        <v>517</v>
      </c>
      <c r="AB36" s="1870"/>
      <c r="AC36" s="1870"/>
      <c r="AD36" s="1870"/>
      <c r="AE36" s="1870"/>
      <c r="AF36" s="1871"/>
      <c r="AG36" s="839"/>
      <c r="AH36" s="239"/>
      <c r="AI36" s="721"/>
      <c r="AJ36" s="728"/>
    </row>
    <row r="37" spans="1:37" ht="15.75" customHeight="1">
      <c r="A37" s="222"/>
      <c r="B37" s="222"/>
      <c r="C37" s="222"/>
      <c r="D37" s="222"/>
      <c r="E37" s="1017" t="str">
        <f>MainForm!B36</f>
        <v>Benzo(a)anthracene</v>
      </c>
      <c r="F37" s="323"/>
      <c r="G37" s="950">
        <v>0.01</v>
      </c>
      <c r="H37" s="391" t="s">
        <v>362</v>
      </c>
      <c r="I37" s="305">
        <f t="shared" si="9"/>
      </c>
      <c r="J37" s="305">
        <f t="shared" si="10"/>
        <v>1</v>
      </c>
      <c r="K37" s="305">
        <f t="shared" si="11"/>
        <v>0.73</v>
      </c>
      <c r="L37" s="306"/>
      <c r="M37" s="307"/>
      <c r="N37" s="1815">
        <f t="shared" si="12"/>
        <v>8.342857142857143E-08</v>
      </c>
      <c r="O37" s="1816" t="s">
        <v>359</v>
      </c>
      <c r="P37" s="312"/>
      <c r="Q37" s="312"/>
      <c r="R37" s="310">
        <f t="shared" si="1"/>
        <v>3.528332510055748E-05</v>
      </c>
      <c r="S37" s="783">
        <f t="shared" si="2"/>
        <v>0.005504198715686966</v>
      </c>
      <c r="T37" s="784">
        <f t="shared" si="3"/>
      </c>
      <c r="U37" s="1822">
        <f t="shared" si="13"/>
        <v>4.592074357087411E-08</v>
      </c>
      <c r="V37" s="1823" t="s">
        <v>359</v>
      </c>
      <c r="W37" s="835"/>
      <c r="X37" s="223"/>
      <c r="Y37" s="223"/>
      <c r="Z37" s="410"/>
      <c r="AA37" s="655"/>
      <c r="AB37" s="222"/>
      <c r="AC37" s="222"/>
      <c r="AD37" s="222"/>
      <c r="AE37" s="222"/>
      <c r="AF37" s="673"/>
      <c r="AG37" s="839"/>
      <c r="AH37" s="242"/>
      <c r="AI37" s="722"/>
      <c r="AK37" s="723"/>
    </row>
    <row r="38" spans="1:37" ht="15.75" customHeight="1">
      <c r="A38" s="222"/>
      <c r="B38" s="222"/>
      <c r="C38" s="222"/>
      <c r="D38" s="222"/>
      <c r="E38" s="1017" t="str">
        <f>MainForm!B37</f>
        <v>Benzo(b)fluoranthene</v>
      </c>
      <c r="F38" s="323"/>
      <c r="G38" s="949">
        <v>0.1</v>
      </c>
      <c r="H38" s="391" t="s">
        <v>361</v>
      </c>
      <c r="I38" s="305">
        <f t="shared" si="9"/>
      </c>
      <c r="J38" s="305">
        <f t="shared" si="10"/>
        <v>1</v>
      </c>
      <c r="K38" s="305">
        <f t="shared" si="11"/>
        <v>0.73</v>
      </c>
      <c r="L38" s="306"/>
      <c r="M38" s="307"/>
      <c r="N38" s="308">
        <f t="shared" si="12"/>
        <v>8.342857142857142E-07</v>
      </c>
      <c r="O38" s="1817" t="s">
        <v>361</v>
      </c>
      <c r="P38" s="312"/>
      <c r="Q38" s="312"/>
      <c r="R38" s="310">
        <f t="shared" si="1"/>
        <v>0.00035283325100557477</v>
      </c>
      <c r="S38" s="783">
        <f t="shared" si="2"/>
        <v>0.055041987156869664</v>
      </c>
      <c r="T38" s="784">
        <f t="shared" si="3"/>
      </c>
      <c r="U38" s="1824">
        <f t="shared" si="13"/>
        <v>4.592074357087411E-07</v>
      </c>
      <c r="V38" s="1825" t="s">
        <v>361</v>
      </c>
      <c r="W38" s="835"/>
      <c r="X38" s="223"/>
      <c r="Y38" s="223"/>
      <c r="Z38" s="410"/>
      <c r="AA38" s="655"/>
      <c r="AB38" s="222"/>
      <c r="AC38" s="222"/>
      <c r="AD38" s="222"/>
      <c r="AE38" s="222"/>
      <c r="AF38" s="673"/>
      <c r="AG38" s="839"/>
      <c r="AH38" s="680"/>
      <c r="AI38" s="724"/>
      <c r="AK38" s="723"/>
    </row>
    <row r="39" spans="1:37" ht="15.75" customHeight="1">
      <c r="A39" s="222"/>
      <c r="B39" s="222"/>
      <c r="C39" s="222"/>
      <c r="D39" s="222"/>
      <c r="E39" s="1017" t="str">
        <f>MainForm!B38</f>
        <v>Benzo(k)fluoranthene</v>
      </c>
      <c r="F39" s="323"/>
      <c r="G39" s="949">
        <v>1</v>
      </c>
      <c r="H39" s="391" t="s">
        <v>360</v>
      </c>
      <c r="I39" s="305">
        <f t="shared" si="9"/>
      </c>
      <c r="J39" s="305">
        <f t="shared" si="10"/>
        <v>1</v>
      </c>
      <c r="K39" s="305">
        <f t="shared" si="11"/>
        <v>0.73</v>
      </c>
      <c r="L39" s="306"/>
      <c r="M39" s="307"/>
      <c r="N39" s="308">
        <f t="shared" si="12"/>
        <v>8.342857142857141E-06</v>
      </c>
      <c r="O39" s="1817" t="s">
        <v>360</v>
      </c>
      <c r="P39" s="312"/>
      <c r="Q39" s="312"/>
      <c r="R39" s="310">
        <f t="shared" si="1"/>
        <v>0.0035283325100557475</v>
      </c>
      <c r="S39" s="783">
        <f t="shared" si="2"/>
        <v>0.5504198715686967</v>
      </c>
      <c r="T39" s="784">
        <f t="shared" si="3"/>
      </c>
      <c r="U39" s="1824">
        <f t="shared" si="13"/>
        <v>4.592074357087412E-06</v>
      </c>
      <c r="V39" s="1825" t="s">
        <v>360</v>
      </c>
      <c r="W39" s="835"/>
      <c r="X39" s="223"/>
      <c r="Y39" s="223"/>
      <c r="Z39" s="410"/>
      <c r="AA39" s="738"/>
      <c r="AB39" s="601"/>
      <c r="AC39" s="601"/>
      <c r="AD39" s="601"/>
      <c r="AE39" s="601"/>
      <c r="AF39" s="739"/>
      <c r="AG39" s="839"/>
      <c r="AH39" s="680"/>
      <c r="AI39" s="724"/>
      <c r="AK39" s="723"/>
    </row>
    <row r="40" spans="1:37" ht="15.75" customHeight="1">
      <c r="A40" s="222"/>
      <c r="B40" s="222"/>
      <c r="C40" s="222"/>
      <c r="D40" s="222"/>
      <c r="E40" s="1017" t="str">
        <f>MainForm!B39</f>
        <v>Benzo(a)pyrene</v>
      </c>
      <c r="F40" s="323"/>
      <c r="G40" s="949">
        <v>0</v>
      </c>
      <c r="H40" s="391" t="s">
        <v>468</v>
      </c>
      <c r="I40" s="305">
        <f t="shared" si="9"/>
      </c>
      <c r="J40" s="305">
        <f t="shared" si="10"/>
        <v>1</v>
      </c>
      <c r="K40" s="305">
        <f t="shared" si="11"/>
        <v>7.3</v>
      </c>
      <c r="L40" s="306"/>
      <c r="M40" s="307"/>
      <c r="N40" s="308">
        <f t="shared" si="12"/>
      </c>
      <c r="O40" s="1818" t="str">
        <f>IF(P41&gt;0,"Fail","")</f>
        <v>Fail</v>
      </c>
      <c r="P40" s="312"/>
      <c r="Q40" s="312"/>
      <c r="R40" s="310">
        <f t="shared" si="1"/>
        <v>0</v>
      </c>
      <c r="S40" s="783">
        <f t="shared" si="2"/>
      </c>
      <c r="T40" s="784">
        <f t="shared" si="3"/>
      </c>
      <c r="U40" s="1824">
        <f t="shared" si="13"/>
      </c>
      <c r="V40" s="1826">
        <f>IF(W41=1,"Fail","")</f>
      </c>
      <c r="W40" s="835"/>
      <c r="X40" s="223"/>
      <c r="Y40" s="223"/>
      <c r="Z40" s="410"/>
      <c r="AA40" s="655"/>
      <c r="AB40" s="222"/>
      <c r="AC40" s="222"/>
      <c r="AD40" s="594" t="s">
        <v>527</v>
      </c>
      <c r="AE40" s="1923">
        <v>156</v>
      </c>
      <c r="AF40" s="1924"/>
      <c r="AG40" s="839"/>
      <c r="AH40" s="680"/>
      <c r="AI40" s="724"/>
      <c r="AK40" s="727"/>
    </row>
    <row r="41" spans="1:35" ht="15.75" customHeight="1">
      <c r="A41" s="222"/>
      <c r="B41" s="222"/>
      <c r="C41" s="222"/>
      <c r="D41" s="222"/>
      <c r="E41" s="1017" t="str">
        <f>MainForm!B40</f>
        <v>Chrysene</v>
      </c>
      <c r="F41" s="323"/>
      <c r="G41" s="949">
        <v>0.2</v>
      </c>
      <c r="H41" s="408">
        <v>1E-05</v>
      </c>
      <c r="I41" s="305">
        <f t="shared" si="9"/>
      </c>
      <c r="J41" s="305">
        <f t="shared" si="10"/>
        <v>1</v>
      </c>
      <c r="K41" s="305">
        <f t="shared" si="11"/>
        <v>0.073</v>
      </c>
      <c r="L41" s="306"/>
      <c r="M41" s="307"/>
      <c r="N41" s="308">
        <f t="shared" si="12"/>
        <v>1.6685714285714285E-07</v>
      </c>
      <c r="O41" s="1819"/>
      <c r="P41" s="838">
        <f>IF(SUM(N37:N43)&gt;0.0000100001,1,)</f>
        <v>1</v>
      </c>
      <c r="Q41" s="312"/>
      <c r="R41" s="310">
        <f t="shared" si="1"/>
        <v>0.0007056665020111495</v>
      </c>
      <c r="S41" s="783">
        <f t="shared" si="2"/>
        <v>0.11008397431373933</v>
      </c>
      <c r="T41" s="784">
        <f t="shared" si="3"/>
      </c>
      <c r="U41" s="1824">
        <f t="shared" si="13"/>
        <v>9.184148714174823E-08</v>
      </c>
      <c r="V41" s="1827"/>
      <c r="W41" s="835">
        <f>IF(SUM(U37:U43)&gt;0.0000100001,1,)</f>
        <v>0</v>
      </c>
      <c r="X41" s="223"/>
      <c r="Y41" s="223"/>
      <c r="Z41" s="410"/>
      <c r="AA41" s="655"/>
      <c r="AB41" s="222"/>
      <c r="AC41" s="222"/>
      <c r="AD41" s="594" t="s">
        <v>264</v>
      </c>
      <c r="AE41" s="1864">
        <v>0.4514360313315927</v>
      </c>
      <c r="AF41" s="1865"/>
      <c r="AG41" s="839"/>
      <c r="AH41" s="680"/>
      <c r="AI41" s="728"/>
    </row>
    <row r="42" spans="1:34" ht="15.75" customHeight="1">
      <c r="A42" s="222"/>
      <c r="B42" s="222"/>
      <c r="C42" s="222"/>
      <c r="D42" s="222"/>
      <c r="E42" s="1017" t="str">
        <f>MainForm!B41</f>
        <v>Dibenz(a,h)anthracene</v>
      </c>
      <c r="F42" s="323"/>
      <c r="G42" s="953">
        <v>0.01</v>
      </c>
      <c r="H42" s="391"/>
      <c r="I42" s="305">
        <f t="shared" si="9"/>
      </c>
      <c r="J42" s="305">
        <f t="shared" si="10"/>
        <v>1</v>
      </c>
      <c r="K42" s="305">
        <f t="shared" si="11"/>
        <v>0.73</v>
      </c>
      <c r="L42" s="306"/>
      <c r="M42" s="307"/>
      <c r="N42" s="308">
        <f t="shared" si="12"/>
        <v>8.342857142857143E-08</v>
      </c>
      <c r="O42" s="1820" t="s">
        <v>647</v>
      </c>
      <c r="P42" s="310"/>
      <c r="Q42" s="312"/>
      <c r="R42" s="310">
        <f t="shared" si="1"/>
        <v>3.528332510055748E-05</v>
      </c>
      <c r="S42" s="783">
        <f t="shared" si="2"/>
        <v>0.005504198715686966</v>
      </c>
      <c r="T42" s="784">
        <f t="shared" si="3"/>
      </c>
      <c r="U42" s="1824">
        <f t="shared" si="13"/>
        <v>4.592074357087411E-08</v>
      </c>
      <c r="V42" s="1828" t="s">
        <v>648</v>
      </c>
      <c r="W42" s="835"/>
      <c r="X42" s="855"/>
      <c r="Y42" s="223"/>
      <c r="Z42" s="410"/>
      <c r="AA42" s="736"/>
      <c r="AB42" s="756"/>
      <c r="AC42" s="756"/>
      <c r="AD42" s="737" t="s">
        <v>521</v>
      </c>
      <c r="AE42" s="1921">
        <v>9.983672893333468E-06</v>
      </c>
      <c r="AF42" s="1922"/>
      <c r="AG42" s="839"/>
      <c r="AH42" s="680"/>
    </row>
    <row r="43" spans="1:34" ht="17.25" customHeight="1" thickBot="1">
      <c r="A43" s="222"/>
      <c r="B43" s="222"/>
      <c r="C43" s="222"/>
      <c r="D43" s="222"/>
      <c r="E43" s="1017" t="str">
        <f>MainForm!B42</f>
        <v>Indeno(1,2,3-cd)pyrene</v>
      </c>
      <c r="F43" s="323"/>
      <c r="G43" s="953">
        <v>0.1</v>
      </c>
      <c r="H43" s="391"/>
      <c r="I43" s="305">
        <f t="shared" si="9"/>
      </c>
      <c r="J43" s="305">
        <f t="shared" si="10"/>
        <v>1</v>
      </c>
      <c r="K43" s="305">
        <f t="shared" si="11"/>
        <v>0.73</v>
      </c>
      <c r="L43" s="306"/>
      <c r="M43" s="307"/>
      <c r="N43" s="829">
        <f t="shared" si="12"/>
        <v>8.342857142857142E-07</v>
      </c>
      <c r="O43" s="1821">
        <f>SUM(N37:N43)</f>
        <v>1.0345142857142855E-05</v>
      </c>
      <c r="P43" s="312"/>
      <c r="Q43" s="312"/>
      <c r="R43" s="310">
        <f t="shared" si="1"/>
        <v>0.00035283325100557477</v>
      </c>
      <c r="S43" s="783">
        <f t="shared" si="2"/>
        <v>0.055041987156869664</v>
      </c>
      <c r="T43" s="784">
        <f t="shared" si="3"/>
      </c>
      <c r="U43" s="1829">
        <f t="shared" si="13"/>
        <v>4.592074357087411E-07</v>
      </c>
      <c r="V43" s="1830">
        <f>SUM(U37:U43)</f>
        <v>5.6941722027883905E-06</v>
      </c>
      <c r="W43" s="835"/>
      <c r="X43" s="855"/>
      <c r="Y43" s="223"/>
      <c r="Z43" s="410"/>
      <c r="AA43" s="655"/>
      <c r="AB43" s="222"/>
      <c r="AC43" s="222"/>
      <c r="AD43" s="862" t="s">
        <v>214</v>
      </c>
      <c r="AE43" s="1919" t="s">
        <v>646</v>
      </c>
      <c r="AF43" s="1920"/>
      <c r="AG43" s="839"/>
      <c r="AH43" s="680"/>
    </row>
    <row r="44" spans="1:34" ht="15.75" thickBot="1">
      <c r="A44" s="222"/>
      <c r="B44" s="222"/>
      <c r="C44" s="222"/>
      <c r="D44" s="222"/>
      <c r="E44" s="840" t="s">
        <v>20</v>
      </c>
      <c r="F44" s="841"/>
      <c r="G44" s="842">
        <f>SUM(G14:G43)</f>
        <v>283.42</v>
      </c>
      <c r="H44" s="843"/>
      <c r="I44" s="844"/>
      <c r="J44" s="844"/>
      <c r="K44" s="844"/>
      <c r="L44" s="845">
        <f>SUM(L14:L43)</f>
        <v>0.8126666666666666</v>
      </c>
      <c r="M44" s="846"/>
      <c r="N44" s="847">
        <f>SUM(N26:N43)</f>
        <v>1.7888000000000002E-05</v>
      </c>
      <c r="O44" s="848" t="str">
        <f>IF(L44&gt;1.00001,"Fail",IF(N44&gt;0.000010001,"Fail",""))</f>
        <v>Fail</v>
      </c>
      <c r="P44" s="849"/>
      <c r="Q44" s="849"/>
      <c r="R44" s="850">
        <f>SUM(R14:R43)</f>
        <v>1</v>
      </c>
      <c r="S44" s="851">
        <v>156</v>
      </c>
      <c r="T44" s="852">
        <f>SUM(T14:T43)</f>
        <v>0.44730788229482743</v>
      </c>
      <c r="U44" s="852">
        <f>SUM(U26:U43)</f>
        <v>9.845910662620845E-06</v>
      </c>
      <c r="V44" s="853">
        <f>IF(T44&gt;1.00001,"Fail",IF(U44&gt;0.000010001,"Fail",""))</f>
      </c>
      <c r="W44" s="854"/>
      <c r="X44" s="855"/>
      <c r="Y44" s="223"/>
      <c r="Z44" s="410"/>
      <c r="AA44" s="1912">
        <f>IF(dc_ul_PF_test="Pass",IF(dc_ul_tph_test&gt;1000,"Check Residual Saturation (WAC340-747(10))",""),"")</f>
      </c>
      <c r="AB44" s="1913"/>
      <c r="AC44" s="1913"/>
      <c r="AD44" s="1913"/>
      <c r="AE44" s="1913"/>
      <c r="AF44" s="1914"/>
      <c r="AG44" s="839"/>
      <c r="AH44" s="680"/>
    </row>
    <row r="45" spans="5:34" ht="15" hidden="1">
      <c r="E45" s="728"/>
      <c r="F45" s="728"/>
      <c r="G45" s="931"/>
      <c r="H45" s="932"/>
      <c r="I45" s="933"/>
      <c r="J45" s="933"/>
      <c r="K45" s="933"/>
      <c r="L45" s="934"/>
      <c r="M45" s="934"/>
      <c r="N45" s="934"/>
      <c r="O45" s="935"/>
      <c r="P45" s="935"/>
      <c r="Q45" s="935"/>
      <c r="R45" s="934"/>
      <c r="S45" s="934"/>
      <c r="T45" s="934"/>
      <c r="U45" s="934"/>
      <c r="V45" s="935"/>
      <c r="W45" s="878"/>
      <c r="X45" s="688"/>
      <c r="Y45" s="878"/>
      <c r="Z45" s="234"/>
      <c r="AB45" s="881"/>
      <c r="AC45" s="881"/>
      <c r="AD45" s="881"/>
      <c r="AE45" s="881"/>
      <c r="AF45" s="882"/>
      <c r="AG45" s="696"/>
      <c r="AH45" s="680"/>
    </row>
    <row r="46" spans="5:34" ht="15" hidden="1">
      <c r="E46" s="728"/>
      <c r="F46" s="728"/>
      <c r="G46" s="931"/>
      <c r="H46" s="932"/>
      <c r="I46" s="933"/>
      <c r="J46" s="933"/>
      <c r="K46" s="933"/>
      <c r="L46" s="934"/>
      <c r="M46" s="934"/>
      <c r="N46" s="934"/>
      <c r="O46" s="935"/>
      <c r="P46" s="935"/>
      <c r="Q46" s="935"/>
      <c r="R46" s="934"/>
      <c r="S46" s="934"/>
      <c r="T46" s="934"/>
      <c r="U46" s="934"/>
      <c r="V46" s="935"/>
      <c r="W46" s="878"/>
      <c r="X46" s="688"/>
      <c r="Y46" s="878"/>
      <c r="Z46" s="234"/>
      <c r="AB46" s="881"/>
      <c r="AC46" s="881"/>
      <c r="AD46" s="881"/>
      <c r="AE46" s="881"/>
      <c r="AF46" s="882"/>
      <c r="AG46" s="696"/>
      <c r="AH46" s="680"/>
    </row>
    <row r="47" spans="5:34" ht="15" hidden="1">
      <c r="E47" s="685"/>
      <c r="F47" s="685"/>
      <c r="G47" s="874"/>
      <c r="H47" s="874"/>
      <c r="I47" s="688"/>
      <c r="J47" s="688"/>
      <c r="K47" s="688"/>
      <c r="L47" s="688"/>
      <c r="M47" s="688"/>
      <c r="N47" s="875" t="s">
        <v>252</v>
      </c>
      <c r="O47" s="688"/>
      <c r="P47" s="876">
        <f>IF(N44&gt;0.000010001,1,0)</f>
        <v>1</v>
      </c>
      <c r="Q47" s="688"/>
      <c r="R47" s="688" t="s">
        <v>422</v>
      </c>
      <c r="S47" s="688">
        <f>SUM(S13:S43)</f>
        <v>156</v>
      </c>
      <c r="T47" s="877"/>
      <c r="U47" s="877"/>
      <c r="V47" s="875" t="s">
        <v>252</v>
      </c>
      <c r="W47" s="876">
        <f>IF(U44&gt;0.000010001,1,0)</f>
        <v>0</v>
      </c>
      <c r="Y47" s="878"/>
      <c r="Z47" s="234"/>
      <c r="AB47" s="881"/>
      <c r="AC47" s="881"/>
      <c r="AD47" s="881"/>
      <c r="AE47" s="881"/>
      <c r="AF47" s="882"/>
      <c r="AG47" s="696"/>
      <c r="AH47" s="680"/>
    </row>
    <row r="48" spans="7:34" ht="15" hidden="1">
      <c r="G48" s="879"/>
      <c r="N48" s="857" t="s">
        <v>253</v>
      </c>
      <c r="P48" s="880">
        <f>IF(L44&gt;1.0001,1,0)</f>
        <v>0</v>
      </c>
      <c r="V48" s="857" t="s">
        <v>253</v>
      </c>
      <c r="W48" s="880">
        <f>IF(T44&gt;1.0001,1,0)</f>
        <v>0</v>
      </c>
      <c r="Y48" s="878"/>
      <c r="Z48" s="234"/>
      <c r="AB48" s="881"/>
      <c r="AC48" s="881"/>
      <c r="AD48" s="881"/>
      <c r="AE48" s="881"/>
      <c r="AF48" s="882"/>
      <c r="AG48" s="696"/>
      <c r="AH48" s="680"/>
    </row>
    <row r="49" spans="14:34" ht="15" hidden="1">
      <c r="N49" s="857" t="s">
        <v>254</v>
      </c>
      <c r="P49" s="880">
        <f>SUM(P13:P48)</f>
        <v>3</v>
      </c>
      <c r="V49" s="857" t="s">
        <v>254</v>
      </c>
      <c r="W49" s="880">
        <f>SUM(W13:W48)</f>
        <v>0</v>
      </c>
      <c r="Y49" s="878"/>
      <c r="Z49" s="234"/>
      <c r="AB49" s="881"/>
      <c r="AC49" s="881"/>
      <c r="AD49" s="881"/>
      <c r="AE49" s="881"/>
      <c r="AF49" s="882"/>
      <c r="AG49" s="696"/>
      <c r="AH49" s="680"/>
    </row>
    <row r="50" spans="25:34" ht="15" hidden="1">
      <c r="Y50" s="878"/>
      <c r="Z50" s="234"/>
      <c r="AB50" s="881"/>
      <c r="AC50" s="881"/>
      <c r="AD50" s="881"/>
      <c r="AE50" s="881"/>
      <c r="AF50" s="882"/>
      <c r="AG50" s="696"/>
      <c r="AH50" s="680"/>
    </row>
    <row r="51" spans="14:34" ht="15" hidden="1">
      <c r="N51" s="857" t="s">
        <v>269</v>
      </c>
      <c r="P51" s="857" t="str">
        <f>IF(P49&gt;0,"Fail","Pass")</f>
        <v>Fail</v>
      </c>
      <c r="V51" s="857" t="s">
        <v>269</v>
      </c>
      <c r="W51" s="857" t="str">
        <f>IF(W49&gt;0,"Fail","Pass")</f>
        <v>Pass</v>
      </c>
      <c r="Y51" s="878"/>
      <c r="Z51" s="234"/>
      <c r="AB51" s="881"/>
      <c r="AC51" s="881"/>
      <c r="AD51" s="881"/>
      <c r="AE51" s="881"/>
      <c r="AF51" s="882"/>
      <c r="AG51" s="239"/>
      <c r="AH51" s="680"/>
    </row>
    <row r="52" spans="16:34" ht="15" hidden="1">
      <c r="P52" s="695">
        <f>SUM(N37:N43)</f>
        <v>1.0345142857142855E-05</v>
      </c>
      <c r="V52" s="857" t="s">
        <v>513</v>
      </c>
      <c r="W52" s="857" t="str">
        <f>IF(GWcul_PF="Fail","NO","YES")</f>
        <v>YES</v>
      </c>
      <c r="Y52" s="878"/>
      <c r="Z52" s="234"/>
      <c r="AB52" s="881"/>
      <c r="AC52" s="881"/>
      <c r="AD52" s="881"/>
      <c r="AE52" s="881"/>
      <c r="AF52" s="882"/>
      <c r="AG52" s="239"/>
      <c r="AH52" s="680"/>
    </row>
    <row r="53" spans="7:34" ht="15" hidden="1">
      <c r="G53" s="794" t="s">
        <v>426</v>
      </c>
      <c r="H53" s="794"/>
      <c r="Y53" s="878"/>
      <c r="Z53" s="234"/>
      <c r="AB53" s="896"/>
      <c r="AC53" s="896"/>
      <c r="AD53" s="896"/>
      <c r="AE53" s="896"/>
      <c r="AF53" s="897"/>
      <c r="AG53" s="856"/>
      <c r="AH53" s="680"/>
    </row>
    <row r="54" spans="5:34" ht="17.25" hidden="1">
      <c r="E54" s="883" t="str">
        <f>AA25</f>
        <v>HI = 1</v>
      </c>
      <c r="F54" s="884"/>
      <c r="G54" s="885">
        <f>(gwcul_hi_result-1)*1000000000</f>
        <v>-552692117.7051725</v>
      </c>
      <c r="H54" s="794"/>
      <c r="N54" s="857" t="s">
        <v>427</v>
      </c>
      <c r="T54" s="857" t="s">
        <v>423</v>
      </c>
      <c r="U54" s="695">
        <f>SUM(U37:U43)</f>
        <v>5.6941722027883905E-06</v>
      </c>
      <c r="Y54" s="878"/>
      <c r="Z54" s="234"/>
      <c r="AA54" s="898"/>
      <c r="AB54" s="898"/>
      <c r="AC54" s="898"/>
      <c r="AD54" s="898"/>
      <c r="AE54" s="898"/>
      <c r="AF54" s="899"/>
      <c r="AG54" s="857"/>
      <c r="AH54" s="680"/>
    </row>
    <row r="55" spans="5:34" ht="13.5" hidden="1">
      <c r="E55" s="883" t="str">
        <f>AA26</f>
        <v>Total Risk = 1E-5</v>
      </c>
      <c r="G55" s="886">
        <f>(gwcul_risk_result-0.00001)*1000000000</f>
        <v>-154.0893373791562</v>
      </c>
      <c r="H55" s="794"/>
      <c r="N55" s="887" t="s">
        <v>278</v>
      </c>
      <c r="O55" s="888">
        <f>gwcul_hi_result</f>
        <v>0.44730788229482743</v>
      </c>
      <c r="Y55" s="878"/>
      <c r="Z55" s="234"/>
      <c r="AA55" s="857"/>
      <c r="AB55" s="688"/>
      <c r="AC55" s="688"/>
      <c r="AD55" s="688"/>
      <c r="AE55" s="688"/>
      <c r="AF55" s="687"/>
      <c r="AG55" s="857"/>
      <c r="AH55" s="680"/>
    </row>
    <row r="56" spans="5:34" ht="12.75" hidden="1">
      <c r="E56" s="883" t="str">
        <f>AA27</f>
        <v>Total Risk = 1E-6</v>
      </c>
      <c r="G56" s="886">
        <f>(gwcul_risk_result-0.000001)*1000000000</f>
        <v>8845.910662620843</v>
      </c>
      <c r="H56" s="794"/>
      <c r="N56" s="889" t="s">
        <v>413</v>
      </c>
      <c r="O56" s="890">
        <f>gwcul_risk_result</f>
        <v>9.845910662620845E-06</v>
      </c>
      <c r="Y56" s="878"/>
      <c r="Z56" s="234"/>
      <c r="AA56" s="857"/>
      <c r="AB56" s="857"/>
      <c r="AC56" s="857"/>
      <c r="AD56" s="857"/>
      <c r="AE56" s="857"/>
      <c r="AF56" s="857"/>
      <c r="AG56" s="857"/>
      <c r="AH56" s="680"/>
    </row>
    <row r="57" spans="5:34" ht="12.75" hidden="1">
      <c r="E57" s="883" t="str">
        <f>AA28</f>
        <v>Benzene MCL = 5 ug/L</v>
      </c>
      <c r="G57" s="891">
        <f>(H26-S26)*1000000000</f>
        <v>1697480770.5878203</v>
      </c>
      <c r="H57" s="892"/>
      <c r="N57" s="889" t="s">
        <v>425</v>
      </c>
      <c r="O57" s="891">
        <f>IF(ISNUMBER(S26),S26,0)</f>
        <v>3.3025192294121797</v>
      </c>
      <c r="Y57" s="878"/>
      <c r="Z57" s="234"/>
      <c r="AA57" s="857"/>
      <c r="AB57" s="857"/>
      <c r="AC57" s="857"/>
      <c r="AD57" s="857"/>
      <c r="AE57" s="857"/>
      <c r="AF57" s="857"/>
      <c r="AG57" s="857"/>
      <c r="AH57" s="680"/>
    </row>
    <row r="58" spans="5:34" ht="12.75" hidden="1">
      <c r="E58" s="883" t="e">
        <f>#REF!</f>
        <v>#REF!</v>
      </c>
      <c r="G58" s="891">
        <f>(H30-S30)*1000000000</f>
        <v>157247900642.1565</v>
      </c>
      <c r="H58" s="241"/>
      <c r="N58" s="889" t="s">
        <v>421</v>
      </c>
      <c r="O58" s="891">
        <f>IF(ISNUMBER(S30),S30,0)</f>
        <v>2.752099357843483</v>
      </c>
      <c r="Y58" s="878"/>
      <c r="Z58" s="234"/>
      <c r="AA58" s="857"/>
      <c r="AB58" s="857"/>
      <c r="AC58" s="857"/>
      <c r="AD58" s="857"/>
      <c r="AE58" s="857"/>
      <c r="AF58" s="857"/>
      <c r="AG58" s="857"/>
      <c r="AH58" s="680"/>
    </row>
    <row r="59" spans="5:34" ht="12.75" hidden="1">
      <c r="E59" s="883" t="str">
        <f>AA29</f>
        <v>MTBE = 20 ug/L</v>
      </c>
      <c r="G59" s="891">
        <f>(H34-S34)*1000000000</f>
        <v>19449580128.431305</v>
      </c>
      <c r="N59" s="889" t="s">
        <v>173</v>
      </c>
      <c r="O59" s="891">
        <f>IF(ISNUMBER(S34),S34,0)</f>
        <v>0.5504198715686967</v>
      </c>
      <c r="Y59" s="878"/>
      <c r="Z59" s="234"/>
      <c r="AA59" s="857"/>
      <c r="AB59" s="857"/>
      <c r="AC59" s="857"/>
      <c r="AD59" s="857"/>
      <c r="AE59" s="857"/>
      <c r="AF59" s="857"/>
      <c r="AG59" s="857"/>
      <c r="AH59" s="680"/>
    </row>
    <row r="60" spans="5:34" ht="12.75" hidden="1">
      <c r="E60" s="883" t="str">
        <f>AA30</f>
        <v>Risk of cPAHs = 1E-5</v>
      </c>
      <c r="F60" s="530"/>
      <c r="G60" s="893">
        <f>(gwcul_risksum_PAH-0.00001)*1000000000</f>
        <v>-4305.82779721161</v>
      </c>
      <c r="N60" s="894" t="s">
        <v>419</v>
      </c>
      <c r="O60" s="895">
        <f>gwcul_risksum_PAH</f>
        <v>5.6941722027883905E-06</v>
      </c>
      <c r="Y60" s="878"/>
      <c r="Z60" s="234"/>
      <c r="AA60" s="857"/>
      <c r="AB60" s="857"/>
      <c r="AC60" s="857"/>
      <c r="AD60" s="857"/>
      <c r="AE60" s="857"/>
      <c r="AF60" s="857"/>
      <c r="AG60" s="857"/>
      <c r="AH60" s="680"/>
    </row>
    <row r="61" spans="5:33" ht="12.75" hidden="1">
      <c r="E61" s="1183" t="s">
        <v>19</v>
      </c>
      <c r="G61" s="695">
        <f>(H27-S27)*1000000</f>
        <v>987340342.95392</v>
      </c>
      <c r="N61" s="1183" t="s">
        <v>19</v>
      </c>
      <c r="O61" s="857">
        <f>IF(ISNUMBER(S27),S27,0)</f>
        <v>12.659657046080023</v>
      </c>
      <c r="Y61" s="878"/>
      <c r="Z61" s="234"/>
      <c r="AA61" s="857"/>
      <c r="AB61" s="857"/>
      <c r="AC61" s="857"/>
      <c r="AD61" s="857"/>
      <c r="AE61" s="857"/>
      <c r="AF61" s="857"/>
      <c r="AG61" s="857"/>
    </row>
    <row r="62" spans="5:32" ht="12.75" hidden="1">
      <c r="E62" s="1183" t="s">
        <v>113</v>
      </c>
      <c r="G62" s="695">
        <f>(H28-S28)*1000000</f>
        <v>687340342.95392</v>
      </c>
      <c r="N62" s="1183" t="s">
        <v>113</v>
      </c>
      <c r="O62" s="857">
        <f>IF(ISNUMBER(S28),S28,0)</f>
        <v>12.659657046080023</v>
      </c>
      <c r="S62" s="532" t="s">
        <v>397</v>
      </c>
      <c r="T62" s="925" t="s">
        <v>508</v>
      </c>
      <c r="U62" s="926" t="s">
        <v>502</v>
      </c>
      <c r="V62" s="927" t="s">
        <v>278</v>
      </c>
      <c r="Z62" s="234"/>
      <c r="AA62" s="857"/>
      <c r="AB62" s="857"/>
      <c r="AC62" s="857"/>
      <c r="AD62" s="857"/>
      <c r="AE62" s="857"/>
      <c r="AF62" s="857"/>
    </row>
    <row r="63" spans="5:32" ht="13.5" hidden="1" thickBot="1">
      <c r="E63" s="1184" t="s">
        <v>170</v>
      </c>
      <c r="G63" s="695">
        <f>(H29-S29)*1000000</f>
        <v>889916025.6862607</v>
      </c>
      <c r="N63" s="1184" t="s">
        <v>170</v>
      </c>
      <c r="O63" s="857">
        <f>IF(ISNUMBER(S29),S29,0)</f>
        <v>110.08397431373932</v>
      </c>
      <c r="S63" s="921">
        <f>IF(gwcul_hi_PF="NO","",gwcul_hi_tph)</f>
      </c>
      <c r="T63" s="236" t="str">
        <f>E54</f>
        <v>HI = 1</v>
      </c>
      <c r="U63" s="857">
        <f>IF(gwcul_hi_PF="NO","",gwcul_hi_risk)</f>
      </c>
      <c r="V63" s="890">
        <f>IF(gwcul_hi_PF="NO","",gwcul_hi_HI)</f>
      </c>
      <c r="Z63" s="857"/>
      <c r="AA63" s="857"/>
      <c r="AB63" s="857"/>
      <c r="AC63" s="857"/>
      <c r="AD63" s="857"/>
      <c r="AE63" s="857"/>
      <c r="AF63" s="857"/>
    </row>
    <row r="64" spans="19:30" ht="12.75" hidden="1">
      <c r="S64" s="921">
        <f>IF(gwcul_risk5_pf="NO","",gwcul_risk5_tph)</f>
        <v>156.2551194001637</v>
      </c>
      <c r="T64" s="236" t="str">
        <f>E55</f>
        <v>Total Risk = 1E-5</v>
      </c>
      <c r="U64" s="921">
        <f>IF(gwcul_risk5_pf="NO","",gwcul_risk5_risk)</f>
        <v>9.999999999999989E-06</v>
      </c>
      <c r="V64" s="890">
        <f>IF(gwcul_risk5_pf="NO","",gwcul_risk5_HI)</f>
        <v>0.4521743011362439</v>
      </c>
      <c r="Z64" s="857"/>
      <c r="AA64" s="857"/>
      <c r="AB64" s="857"/>
      <c r="AC64" s="857"/>
      <c r="AD64" s="680"/>
    </row>
    <row r="65" spans="19:30" ht="12.75" hidden="1">
      <c r="S65" s="921">
        <f>IF(gwcul_risk6_PF="NO","",gwcul_risk6_tph)</f>
        <v>15.625511940016391</v>
      </c>
      <c r="T65" s="236" t="str">
        <f>E56</f>
        <v>Total Risk = 1E-6</v>
      </c>
      <c r="U65" s="921">
        <f>IF(gwcul_risk6_PF="NO","",gwcul_risk6_risk)</f>
        <v>1.0000000000000004E-06</v>
      </c>
      <c r="V65" s="890">
        <f>IF(gwcul_risk6_PF="NO","",gwcul_risk6_hi)</f>
        <v>0.04521743011362445</v>
      </c>
      <c r="Z65" s="857"/>
      <c r="AA65" s="857"/>
      <c r="AB65" s="857"/>
      <c r="AC65" s="857"/>
      <c r="AD65" s="680"/>
    </row>
    <row r="66" spans="19:30" ht="12.75" hidden="1">
      <c r="S66" s="921">
        <f>IF(gwcul_benzene_PF="NO","",gwcul_benzene_tph)</f>
      </c>
      <c r="T66" s="236" t="str">
        <f>E57</f>
        <v>Benzene MCL = 5 ug/L</v>
      </c>
      <c r="U66" s="921">
        <f>IF(gwcul_benzene_PF="NO","",gwcul_benzene_risk)</f>
      </c>
      <c r="V66" s="890">
        <f>IF(gwcul_benzene_PF="NO","",gwcul_benzene_hi)</f>
      </c>
      <c r="Z66" s="857"/>
      <c r="AA66" s="857"/>
      <c r="AB66" s="857"/>
      <c r="AC66" s="857"/>
      <c r="AD66" s="680"/>
    </row>
    <row r="67" spans="19:30" ht="12.75" hidden="1">
      <c r="S67" s="921">
        <f>IF(gwcul_mtbe__pf="NO","",gwcul_mtbe_tph)</f>
      </c>
      <c r="T67" s="236" t="str">
        <f>E59</f>
        <v>MTBE = 20 ug/L</v>
      </c>
      <c r="U67" s="921">
        <f>IF(gwcul_mtbe__pf="NO","",gwcul_mtbe_risk)</f>
      </c>
      <c r="V67" s="890">
        <f>IF(gwcul_mtbe__pf="NO","",gwcul_mtbe__hi)</f>
      </c>
      <c r="W67" s="234"/>
      <c r="X67" s="234"/>
      <c r="Y67" s="234"/>
      <c r="Z67" s="857"/>
      <c r="AA67" s="857"/>
      <c r="AB67" s="857"/>
      <c r="AC67" s="857"/>
      <c r="AD67" s="680"/>
    </row>
    <row r="68" spans="19:30" ht="12.75" hidden="1">
      <c r="S68" s="928">
        <f>IF(gwcul_pah__pf="NO","",gwcul_pah_tph)</f>
      </c>
      <c r="T68" s="929" t="str">
        <f>E60</f>
        <v>Risk of cPAHs = 1E-5</v>
      </c>
      <c r="U68" s="928">
        <f>IF(gwcul_pah__pf="NO","",gwcul_pah_risk)</f>
      </c>
      <c r="V68" s="895">
        <f>IF(gwcul_pah__pf="NO","",gwcul_pah__hi)</f>
      </c>
      <c r="W68" s="234"/>
      <c r="X68" s="234"/>
      <c r="Y68" s="234"/>
      <c r="Z68" s="234"/>
      <c r="AA68" s="857"/>
      <c r="AB68" s="857"/>
      <c r="AC68" s="857"/>
      <c r="AD68" s="856"/>
    </row>
    <row r="69" spans="19:30" ht="12.75" hidden="1">
      <c r="S69" s="921">
        <f>IF(gwcul_tol__pf="NO","",gwcul_tol_tph)</f>
      </c>
      <c r="T69" s="929" t="str">
        <f>E61</f>
        <v>Toluene</v>
      </c>
      <c r="U69" s="236">
        <f>IF(gwcul_tol__pf="NO","",gwcul_tol_risk)</f>
      </c>
      <c r="V69" s="890">
        <f>IF(gwcul_tol__pf="NO","",gwcul_tol__hi)</f>
      </c>
      <c r="W69" s="229"/>
      <c r="X69" s="229"/>
      <c r="Y69" s="229"/>
      <c r="Z69" s="234"/>
      <c r="AA69" s="234"/>
      <c r="AC69" s="729"/>
      <c r="AD69" s="857"/>
    </row>
    <row r="70" spans="19:30" ht="12.75" hidden="1">
      <c r="S70" s="921">
        <f>IF(gwcul_ethl__pf="NO","",gwcul_ethl_tph)</f>
      </c>
      <c r="T70" s="929" t="str">
        <f>E62</f>
        <v>Ethylbenzene</v>
      </c>
      <c r="U70" s="236">
        <f>IF(gwcul_ethl__pf="NO","",gwcul_ethl_risk)</f>
      </c>
      <c r="V70" s="890">
        <f>IF(gwcul_ethl__pf="NO","",gwcul_ethl__hi)</f>
      </c>
      <c r="W70" s="229"/>
      <c r="X70" s="229"/>
      <c r="Y70" s="229"/>
      <c r="AA70" s="234"/>
      <c r="AC70" s="229">
        <f>IF('Soil-to-GroundWater'!Q51&lt;0,"NAPL is supersaturated, Computation is not Correct!","")</f>
      </c>
      <c r="AD70" s="857"/>
    </row>
    <row r="71" spans="19:30" ht="12.75" hidden="1">
      <c r="S71" s="928">
        <f>IF(gwcul_xyl__pf="NO","",gwcul_xyl_tph)</f>
      </c>
      <c r="T71" s="929" t="str">
        <f>E63</f>
        <v>Total Xylenes</v>
      </c>
      <c r="U71" s="929">
        <f>IF(gwcul_xyl__pf="NO","",gwcul_xyl_risk)</f>
      </c>
      <c r="V71" s="895">
        <f>IF(gwcul_xyl__pf="NO","",gwcul_xyl__hi)</f>
      </c>
      <c r="W71" s="229"/>
      <c r="X71" s="229"/>
      <c r="Y71" s="229"/>
      <c r="AC71" s="229" t="str">
        <f>IF(G48&gt;1000,"Please Check Soil Residual Saturation Level!",IF('Soil-to-GroundWater'!I10&gt;1000,"Please Check Soil Residual SaturationTPH Levels: Table 747-2!"," "))</f>
        <v> </v>
      </c>
      <c r="AD71" s="857"/>
    </row>
    <row r="72" spans="19:30" ht="12.75" hidden="1">
      <c r="S72" s="922" t="s">
        <v>428</v>
      </c>
      <c r="T72" s="229">
        <f>MAX(S63:S71)</f>
        <v>156.2551194001637</v>
      </c>
      <c r="V72" s="890"/>
      <c r="W72" s="229"/>
      <c r="X72" s="229"/>
      <c r="Y72" s="229"/>
      <c r="AD72" s="857"/>
    </row>
    <row r="73" spans="19:30" ht="13.5" hidden="1" thickBot="1">
      <c r="S73" s="922" t="s">
        <v>429</v>
      </c>
      <c r="T73" s="229" t="str">
        <f>VLOOKUP(T72,S63:V71,2,FALSE)</f>
        <v>Total Risk = 1E-5</v>
      </c>
      <c r="V73" s="890"/>
      <c r="AD73" s="857"/>
    </row>
    <row r="74" spans="5:22" ht="12.75" hidden="1">
      <c r="E74" s="1892" t="s">
        <v>263</v>
      </c>
      <c r="F74" s="1893"/>
      <c r="G74" s="1893"/>
      <c r="H74" s="1894"/>
      <c r="S74" s="922" t="s">
        <v>278</v>
      </c>
      <c r="T74" s="229">
        <f>VLOOKUP(T72,S63:V71,4,FALSE)</f>
        <v>0.4521743011362439</v>
      </c>
      <c r="V74" s="890"/>
    </row>
    <row r="75" spans="5:22" ht="13.5" hidden="1" thickBot="1">
      <c r="E75" s="863" t="s">
        <v>267</v>
      </c>
      <c r="F75" s="864"/>
      <c r="G75" s="864"/>
      <c r="H75" s="865" t="s">
        <v>3</v>
      </c>
      <c r="S75" s="923" t="s">
        <v>208</v>
      </c>
      <c r="T75" s="530">
        <f>VLOOKUP(T72,S63:V71,3,FALSE)</f>
        <v>9.999999999999989E-06</v>
      </c>
      <c r="U75" s="924"/>
      <c r="V75" s="895"/>
    </row>
    <row r="76" spans="5:8" ht="13.5" hidden="1" thickTop="1">
      <c r="E76" s="866" t="s">
        <v>250</v>
      </c>
      <c r="F76" s="867"/>
      <c r="G76" s="868">
        <v>16</v>
      </c>
      <c r="H76" s="869" t="s">
        <v>53</v>
      </c>
    </row>
    <row r="77" spans="5:8" ht="12.75" hidden="1">
      <c r="E77" s="866" t="s">
        <v>209</v>
      </c>
      <c r="F77" s="867"/>
      <c r="G77" s="868">
        <v>1000</v>
      </c>
      <c r="H77" s="869" t="s">
        <v>55</v>
      </c>
    </row>
    <row r="78" spans="5:8" ht="12.75" hidden="1">
      <c r="E78" s="866" t="s">
        <v>210</v>
      </c>
      <c r="F78" s="867"/>
      <c r="G78" s="868">
        <v>1</v>
      </c>
      <c r="H78" s="869" t="s">
        <v>57</v>
      </c>
    </row>
    <row r="79" spans="5:8" ht="13.5" hidden="1" thickBot="1">
      <c r="E79" s="870" t="s">
        <v>211</v>
      </c>
      <c r="F79" s="871"/>
      <c r="G79" s="872">
        <v>1</v>
      </c>
      <c r="H79" s="873" t="s">
        <v>63</v>
      </c>
    </row>
    <row r="80" spans="5:8" ht="13.5" hidden="1" thickBot="1">
      <c r="E80" s="863" t="s">
        <v>268</v>
      </c>
      <c r="F80" s="864"/>
      <c r="G80" s="864"/>
      <c r="H80" s="865" t="s">
        <v>365</v>
      </c>
    </row>
    <row r="81" spans="5:8" ht="13.5" hidden="1" thickTop="1">
      <c r="E81" s="866" t="s">
        <v>250</v>
      </c>
      <c r="F81" s="867"/>
      <c r="G81" s="868">
        <v>70</v>
      </c>
      <c r="H81" s="869" t="s">
        <v>53</v>
      </c>
    </row>
    <row r="82" spans="5:8" ht="12.75" hidden="1">
      <c r="E82" s="866" t="s">
        <v>209</v>
      </c>
      <c r="F82" s="867"/>
      <c r="G82" s="868">
        <v>1000</v>
      </c>
      <c r="H82" s="869" t="s">
        <v>55</v>
      </c>
    </row>
    <row r="83" spans="5:8" ht="12.75" hidden="1">
      <c r="E83" s="866" t="s">
        <v>367</v>
      </c>
      <c r="F83" s="867"/>
      <c r="G83" s="868">
        <v>75</v>
      </c>
      <c r="H83" s="869" t="s">
        <v>266</v>
      </c>
    </row>
    <row r="84" spans="5:8" ht="12.75" hidden="1">
      <c r="E84" s="866" t="s">
        <v>210</v>
      </c>
      <c r="F84" s="867"/>
      <c r="G84" s="868">
        <v>2</v>
      </c>
      <c r="H84" s="869" t="s">
        <v>57</v>
      </c>
    </row>
    <row r="85" spans="5:8" ht="12.75" hidden="1">
      <c r="E85" s="866" t="s">
        <v>198</v>
      </c>
      <c r="F85" s="867"/>
      <c r="G85" s="868">
        <v>30</v>
      </c>
      <c r="H85" s="869" t="s">
        <v>266</v>
      </c>
    </row>
    <row r="86" spans="5:8" ht="13.5" hidden="1" thickBot="1">
      <c r="E86" s="870" t="s">
        <v>211</v>
      </c>
      <c r="F86" s="871"/>
      <c r="G86" s="872">
        <v>1</v>
      </c>
      <c r="H86" s="873" t="s">
        <v>63</v>
      </c>
    </row>
    <row r="87" ht="12.75" hidden="1"/>
    <row r="88" ht="12.75" hidden="1"/>
    <row r="89" ht="12.75" hidden="1"/>
    <row r="90" ht="12.75" hidden="1"/>
    <row r="91" ht="12.75" hidden="1"/>
    <row r="92" ht="12.75" hidden="1"/>
    <row r="93" ht="12.75" hidden="1"/>
  </sheetData>
  <sheetProtection/>
  <mergeCells count="36">
    <mergeCell ref="AA23:AB24"/>
    <mergeCell ref="AC23:AC24"/>
    <mergeCell ref="AE43:AF43"/>
    <mergeCell ref="AE18:AF18"/>
    <mergeCell ref="AE40:AF40"/>
    <mergeCell ref="AE41:AF41"/>
    <mergeCell ref="AE42:AF42"/>
    <mergeCell ref="AD21:AF21"/>
    <mergeCell ref="AD22:AF22"/>
    <mergeCell ref="E74:H74"/>
    <mergeCell ref="AA20:AF20"/>
    <mergeCell ref="L8:O8"/>
    <mergeCell ref="AA7:AF7"/>
    <mergeCell ref="U9:U11"/>
    <mergeCell ref="AF23:AF24"/>
    <mergeCell ref="V9:V11"/>
    <mergeCell ref="AA36:AF36"/>
    <mergeCell ref="AA19:AF19"/>
    <mergeCell ref="AA44:AF44"/>
    <mergeCell ref="AA2:AF2"/>
    <mergeCell ref="AA9:AF9"/>
    <mergeCell ref="S8:V8"/>
    <mergeCell ref="G9:G11"/>
    <mergeCell ref="H9:H11"/>
    <mergeCell ref="L9:L11"/>
    <mergeCell ref="N9:N11"/>
    <mergeCell ref="O9:O11"/>
    <mergeCell ref="S9:S11"/>
    <mergeCell ref="T9:T11"/>
    <mergeCell ref="AE3:AF3"/>
    <mergeCell ref="AE4:AF4"/>
    <mergeCell ref="AE5:AF5"/>
    <mergeCell ref="AD23:AD24"/>
    <mergeCell ref="AE23:AE24"/>
    <mergeCell ref="AE16:AF16"/>
    <mergeCell ref="AE17:AF17"/>
  </mergeCells>
  <conditionalFormatting sqref="AC15 AC25:AC33">
    <cfRule type="cellIs" priority="1" dxfId="0" operator="equal" stopIfTrue="1">
      <formula>"NO"</formula>
    </cfRule>
  </conditionalFormatting>
  <conditionalFormatting sqref="AE43">
    <cfRule type="cellIs" priority="2" dxfId="0" operator="equal" stopIfTrue="1">
      <formula>"Fail"</formula>
    </cfRule>
  </conditionalFormatting>
  <conditionalFormatting sqref="AC6 AE6 AD15:AE15">
    <cfRule type="cellIs" priority="3" dxfId="1" operator="equal" stopIfTrue="1">
      <formula>"Fail"</formula>
    </cfRule>
  </conditionalFormatting>
  <printOptions horizontalCentered="1"/>
  <pageMargins left="0.2" right="0.18" top="0.86" bottom="0.38" header="0.18" footer="0.15"/>
  <pageSetup blackAndWhite="1" fitToHeight="1" fitToWidth="1" horizontalDpi="300" verticalDpi="300" orientation="landscape" scale="76" r:id="rId4"/>
  <headerFooter alignWithMargins="0">
    <oddHeader xml:space="preserve">&amp;CWashington State Department of Ecology, Toxics Cleanup Program: Method B Ground Water Cleanup Level for TPH Sites </oddHeader>
    <oddFooter>&amp;L&amp;T&amp;D&amp;R  &amp;F</oddFooter>
  </headerFooter>
  <drawing r:id="rId3"/>
  <legacyDrawing r:id="rId2"/>
</worksheet>
</file>

<file path=xl/worksheets/sheet15.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5546875" defaultRowHeight="4.5" customHeight="1"/>
  <cols>
    <col min="1" max="16384" width="0.85546875" style="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6.xml><?xml version="1.0" encoding="utf-8"?>
<worksheet xmlns="http://schemas.openxmlformats.org/spreadsheetml/2006/main" xmlns:r="http://schemas.openxmlformats.org/officeDocument/2006/relationships">
  <sheetPr codeName="Sheet32"/>
  <dimension ref="A1:AI85"/>
  <sheetViews>
    <sheetView showGridLines="0" showRowColHeaders="0" zoomScale="69" zoomScaleNormal="69" zoomScalePageLayoutView="0" workbookViewId="0" topLeftCell="A1">
      <selection activeCell="B5" sqref="B5"/>
    </sheetView>
  </sheetViews>
  <sheetFormatPr defaultColWidth="9.140625" defaultRowHeight="12.75"/>
  <cols>
    <col min="1" max="1" width="23.28125" style="229" customWidth="1"/>
    <col min="2" max="2" width="10.8515625" style="229" customWidth="1"/>
    <col min="3" max="3" width="6.28125" style="229" hidden="1" customWidth="1"/>
    <col min="4" max="4" width="8.57421875" style="229" hidden="1" customWidth="1"/>
    <col min="5" max="5" width="6.57421875" style="229" hidden="1" customWidth="1"/>
    <col min="6" max="6" width="6.421875" style="229" hidden="1" customWidth="1"/>
    <col min="7" max="7" width="9.57421875" style="229" hidden="1" customWidth="1"/>
    <col min="8" max="8" width="6.28125" style="229" hidden="1" customWidth="1"/>
    <col min="9" max="9" width="9.421875" style="229" hidden="1" customWidth="1"/>
    <col min="10" max="10" width="8.00390625" style="229" hidden="1" customWidth="1"/>
    <col min="11" max="11" width="8.28125" style="229" customWidth="1"/>
    <col min="12" max="12" width="7.57421875" style="229" hidden="1" customWidth="1"/>
    <col min="13" max="13" width="8.421875" style="229" customWidth="1"/>
    <col min="14" max="14" width="4.140625" style="229" hidden="1" customWidth="1"/>
    <col min="15" max="15" width="6.00390625" style="229" hidden="1" customWidth="1"/>
    <col min="16" max="16" width="10.28125" style="229" customWidth="1"/>
    <col min="17" max="17" width="8.7109375" style="229" hidden="1" customWidth="1"/>
    <col min="18" max="18" width="4.7109375" style="229" hidden="1" customWidth="1"/>
    <col min="19" max="19" width="11.8515625" style="229" customWidth="1"/>
    <col min="20" max="20" width="11.7109375" style="229" customWidth="1"/>
    <col min="21" max="21" width="10.28125" style="229" customWidth="1"/>
    <col min="22" max="22" width="7.7109375" style="229" customWidth="1"/>
    <col min="23" max="23" width="7.28125" style="229" hidden="1" customWidth="1"/>
    <col min="24" max="25" width="2.7109375" style="229" hidden="1" customWidth="1"/>
    <col min="26" max="26" width="0.2890625" style="229" hidden="1" customWidth="1"/>
    <col min="27" max="27" width="0.5625" style="229" hidden="1" customWidth="1"/>
    <col min="28" max="28" width="1.1484375" style="229" customWidth="1"/>
    <col min="29" max="29" width="22.00390625" style="229" customWidth="1"/>
    <col min="30" max="30" width="12.7109375" style="229" customWidth="1"/>
    <col min="31" max="31" width="20.140625" style="229" customWidth="1"/>
    <col min="32" max="32" width="0.71875" style="229" customWidth="1"/>
    <col min="33" max="33" width="11.140625" style="229" customWidth="1"/>
    <col min="34" max="34" width="6.140625" style="229" bestFit="1" customWidth="1"/>
    <col min="35" max="16384" width="9.140625" style="229" customWidth="1"/>
  </cols>
  <sheetData>
    <row r="1" spans="1:32" ht="16.5" customHeight="1">
      <c r="A1" s="599" t="s">
        <v>585</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row>
    <row r="2" spans="1:32" ht="15" customHeight="1">
      <c r="A2" s="600" t="s">
        <v>582</v>
      </c>
      <c r="B2" s="601"/>
      <c r="C2" s="601"/>
      <c r="D2" s="601"/>
      <c r="E2" s="601"/>
      <c r="F2" s="601"/>
      <c r="G2" s="601"/>
      <c r="H2" s="601"/>
      <c r="I2" s="601"/>
      <c r="J2" s="601"/>
      <c r="K2" s="601"/>
      <c r="L2" s="601"/>
      <c r="M2" s="601"/>
      <c r="N2" s="601"/>
      <c r="O2" s="601"/>
      <c r="P2" s="601"/>
      <c r="Q2" s="601"/>
      <c r="R2" s="601"/>
      <c r="S2" s="601"/>
      <c r="T2" s="601"/>
      <c r="U2" s="601"/>
      <c r="V2" s="601"/>
      <c r="W2" s="222"/>
      <c r="X2" s="222"/>
      <c r="Y2" s="222"/>
      <c r="Z2" s="222"/>
      <c r="AA2" s="222"/>
      <c r="AB2" s="222"/>
      <c r="AC2" s="222"/>
      <c r="AD2" s="325"/>
      <c r="AE2" s="222"/>
      <c r="AF2" s="222"/>
    </row>
    <row r="3" spans="1:32" ht="12.75">
      <c r="A3" s="594" t="str">
        <f>MainForm!B3</f>
        <v>Date:</v>
      </c>
      <c r="B3" s="602">
        <f>MainForm!C3</f>
        <v>38822</v>
      </c>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22"/>
      <c r="AC3" s="222"/>
      <c r="AD3" s="222"/>
      <c r="AE3" s="222"/>
      <c r="AF3" s="222"/>
    </row>
    <row r="4" spans="1:32" ht="12.75">
      <c r="A4" s="594" t="str">
        <f>MainForm!B4</f>
        <v>Site Name:</v>
      </c>
      <c r="B4" s="603" t="str">
        <f>MainForm!C4</f>
        <v>ooo</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22"/>
      <c r="AC4" s="222"/>
      <c r="AD4" s="222"/>
      <c r="AE4" s="222"/>
      <c r="AF4" s="222"/>
    </row>
    <row r="5" spans="1:32" ht="12.75">
      <c r="A5" s="604" t="str">
        <f>MainForm!B5</f>
        <v>Sample Name:</v>
      </c>
      <c r="B5" s="605">
        <f>MainForm!C5</f>
        <v>0</v>
      </c>
      <c r="C5" s="606"/>
      <c r="D5" s="606"/>
      <c r="E5" s="606"/>
      <c r="F5" s="606"/>
      <c r="G5" s="606"/>
      <c r="H5" s="606"/>
      <c r="I5" s="606"/>
      <c r="J5" s="606"/>
      <c r="K5" s="606"/>
      <c r="L5" s="606"/>
      <c r="M5" s="606"/>
      <c r="N5" s="606"/>
      <c r="O5" s="606"/>
      <c r="P5" s="606"/>
      <c r="Q5" s="606"/>
      <c r="R5" s="606"/>
      <c r="S5" s="606"/>
      <c r="T5" s="606"/>
      <c r="U5" s="606"/>
      <c r="V5" s="606"/>
      <c r="W5" s="232"/>
      <c r="X5" s="232"/>
      <c r="Y5" s="232"/>
      <c r="Z5" s="232"/>
      <c r="AA5" s="232"/>
      <c r="AB5" s="222"/>
      <c r="AC5" s="222"/>
      <c r="AD5" s="222"/>
      <c r="AE5" s="222"/>
      <c r="AF5" s="222"/>
    </row>
    <row r="6" spans="1:32" ht="2.25" customHeight="1">
      <c r="A6" s="607"/>
      <c r="B6" s="267"/>
      <c r="C6" s="608"/>
      <c r="D6" s="608"/>
      <c r="E6" s="608"/>
      <c r="F6" s="608"/>
      <c r="G6" s="608"/>
      <c r="H6" s="608"/>
      <c r="I6" s="608"/>
      <c r="J6" s="608"/>
      <c r="K6" s="608"/>
      <c r="L6" s="608"/>
      <c r="M6" s="608"/>
      <c r="N6" s="608"/>
      <c r="O6" s="608"/>
      <c r="P6" s="608"/>
      <c r="Q6" s="608"/>
      <c r="R6" s="608"/>
      <c r="S6" s="608"/>
      <c r="T6" s="608"/>
      <c r="U6" s="608"/>
      <c r="V6" s="608"/>
      <c r="W6" s="232"/>
      <c r="X6" s="232"/>
      <c r="Y6" s="232"/>
      <c r="Z6" s="232"/>
      <c r="AA6" s="232"/>
      <c r="AB6" s="222"/>
      <c r="AC6" s="222"/>
      <c r="AD6" s="222"/>
      <c r="AE6" s="222"/>
      <c r="AF6" s="222"/>
    </row>
    <row r="7" spans="1:32" ht="16.5" customHeight="1" thickBot="1">
      <c r="A7" s="610"/>
      <c r="B7" s="611"/>
      <c r="C7" s="608"/>
      <c r="D7" s="608"/>
      <c r="E7" s="608"/>
      <c r="F7" s="608"/>
      <c r="G7" s="608"/>
      <c r="H7" s="608"/>
      <c r="I7" s="608"/>
      <c r="J7" s="608"/>
      <c r="K7" s="608"/>
      <c r="L7" s="608"/>
      <c r="M7" s="608"/>
      <c r="N7" s="608"/>
      <c r="O7" s="608"/>
      <c r="P7" s="608"/>
      <c r="Q7" s="608"/>
      <c r="R7" s="612"/>
      <c r="S7" s="608"/>
      <c r="T7" s="608"/>
      <c r="U7" s="608"/>
      <c r="V7" s="608"/>
      <c r="W7" s="232"/>
      <c r="X7" s="232"/>
      <c r="Y7" s="232"/>
      <c r="Z7" s="232"/>
      <c r="AA7" s="232"/>
      <c r="AB7" s="222"/>
      <c r="AC7" s="609"/>
      <c r="AD7" s="232"/>
      <c r="AE7" s="232"/>
      <c r="AF7" s="222"/>
    </row>
    <row r="8" spans="1:32" ht="16.5" thickBot="1">
      <c r="A8" s="1952" t="s">
        <v>536</v>
      </c>
      <c r="B8" s="614"/>
      <c r="C8" s="615" t="s">
        <v>263</v>
      </c>
      <c r="D8" s="616"/>
      <c r="E8" s="616"/>
      <c r="F8" s="616"/>
      <c r="G8" s="615" t="s">
        <v>261</v>
      </c>
      <c r="H8" s="617"/>
      <c r="I8" s="617"/>
      <c r="J8" s="615"/>
      <c r="K8" s="615" t="s">
        <v>215</v>
      </c>
      <c r="L8" s="615"/>
      <c r="M8" s="616"/>
      <c r="N8" s="616"/>
      <c r="O8" s="616"/>
      <c r="P8" s="618"/>
      <c r="Q8" s="619"/>
      <c r="R8" s="619"/>
      <c r="S8" s="1955" t="s">
        <v>251</v>
      </c>
      <c r="T8" s="1956"/>
      <c r="U8" s="1956"/>
      <c r="V8" s="1957"/>
      <c r="W8" s="222"/>
      <c r="X8" s="222"/>
      <c r="Y8" s="222"/>
      <c r="Z8" s="222"/>
      <c r="AA8" s="222"/>
      <c r="AB8" s="222"/>
      <c r="AC8" s="1866" t="s">
        <v>519</v>
      </c>
      <c r="AD8" s="1961"/>
      <c r="AE8" s="1962"/>
      <c r="AF8" s="222"/>
    </row>
    <row r="9" spans="1:32" ht="13.5" customHeight="1" thickTop="1">
      <c r="A9" s="1953"/>
      <c r="B9" s="1933" t="s">
        <v>364</v>
      </c>
      <c r="C9" s="620"/>
      <c r="D9" s="621"/>
      <c r="E9" s="621"/>
      <c r="F9" s="621"/>
      <c r="G9" s="620"/>
      <c r="H9" s="622"/>
      <c r="I9" s="622"/>
      <c r="J9" s="620"/>
      <c r="K9" s="1948" t="s">
        <v>60</v>
      </c>
      <c r="L9" s="620"/>
      <c r="M9" s="1935" t="s">
        <v>208</v>
      </c>
      <c r="N9" s="751"/>
      <c r="O9" s="750"/>
      <c r="P9" s="1938" t="s">
        <v>214</v>
      </c>
      <c r="Q9" s="623"/>
      <c r="R9" s="623"/>
      <c r="S9" s="1963" t="s">
        <v>224</v>
      </c>
      <c r="T9" s="1966" t="s">
        <v>60</v>
      </c>
      <c r="U9" s="1966" t="s">
        <v>208</v>
      </c>
      <c r="V9" s="1969" t="s">
        <v>214</v>
      </c>
      <c r="W9" s="222"/>
      <c r="X9" s="222"/>
      <c r="Y9" s="222"/>
      <c r="Z9" s="222"/>
      <c r="AA9" s="222"/>
      <c r="AB9" s="222"/>
      <c r="AC9" s="742"/>
      <c r="AD9" s="743" t="s">
        <v>520</v>
      </c>
      <c r="AE9" s="744">
        <f>B44</f>
        <v>845.15</v>
      </c>
      <c r="AF9" s="222"/>
    </row>
    <row r="10" spans="1:32" ht="16.5" customHeight="1">
      <c r="A10" s="1953"/>
      <c r="B10" s="1934"/>
      <c r="C10" s="1944" t="s">
        <v>203</v>
      </c>
      <c r="D10" s="1946" t="s">
        <v>204</v>
      </c>
      <c r="E10" s="1946" t="s">
        <v>471</v>
      </c>
      <c r="F10" s="1946" t="s">
        <v>206</v>
      </c>
      <c r="G10" s="1946" t="s">
        <v>472</v>
      </c>
      <c r="H10" s="1972" t="s">
        <v>207</v>
      </c>
      <c r="I10" s="1936" t="s">
        <v>473</v>
      </c>
      <c r="J10" s="1948" t="s">
        <v>221</v>
      </c>
      <c r="K10" s="1944"/>
      <c r="L10" s="1944" t="s">
        <v>387</v>
      </c>
      <c r="M10" s="1936"/>
      <c r="N10" s="536"/>
      <c r="O10" s="537"/>
      <c r="P10" s="1939"/>
      <c r="Q10" s="625" t="s">
        <v>240</v>
      </c>
      <c r="R10" s="590" t="s">
        <v>21</v>
      </c>
      <c r="S10" s="1964"/>
      <c r="T10" s="1967"/>
      <c r="U10" s="1967"/>
      <c r="V10" s="1970"/>
      <c r="W10" s="228" t="s">
        <v>222</v>
      </c>
      <c r="X10" s="228"/>
      <c r="Y10" s="228"/>
      <c r="Z10" s="228"/>
      <c r="AA10" s="228"/>
      <c r="AB10" s="222"/>
      <c r="AC10" s="624"/>
      <c r="AD10" s="730" t="s">
        <v>264</v>
      </c>
      <c r="AE10" s="731">
        <f>K44</f>
        <v>0.2601857964764943</v>
      </c>
      <c r="AF10" s="222"/>
    </row>
    <row r="11" spans="1:32" ht="15.75" customHeight="1">
      <c r="A11" s="1954"/>
      <c r="B11" s="749" t="s">
        <v>386</v>
      </c>
      <c r="C11" s="1945"/>
      <c r="D11" s="1947"/>
      <c r="E11" s="1947"/>
      <c r="F11" s="1950"/>
      <c r="G11" s="1947"/>
      <c r="H11" s="1973"/>
      <c r="I11" s="1951"/>
      <c r="J11" s="1949"/>
      <c r="K11" s="1949"/>
      <c r="L11" s="1949"/>
      <c r="M11" s="1937"/>
      <c r="N11" s="597"/>
      <c r="O11" s="538"/>
      <c r="P11" s="1940"/>
      <c r="Q11" s="590"/>
      <c r="R11" s="590"/>
      <c r="S11" s="1965"/>
      <c r="T11" s="1968"/>
      <c r="U11" s="1968"/>
      <c r="V11" s="1971"/>
      <c r="W11" s="228"/>
      <c r="X11" s="228"/>
      <c r="Y11" s="228"/>
      <c r="Z11" s="228"/>
      <c r="AA11" s="228"/>
      <c r="AB11" s="325"/>
      <c r="AC11" s="764"/>
      <c r="AD11" s="765" t="s">
        <v>521</v>
      </c>
      <c r="AE11" s="766">
        <f>M44</f>
        <v>2.7507170790656412E-06</v>
      </c>
      <c r="AF11" s="222"/>
    </row>
    <row r="12" spans="1:33" s="250" customFormat="1" ht="15" customHeight="1" thickBot="1">
      <c r="A12" s="277"/>
      <c r="B12" s="752" t="s">
        <v>13</v>
      </c>
      <c r="C12" s="281" t="s">
        <v>63</v>
      </c>
      <c r="D12" s="280" t="s">
        <v>260</v>
      </c>
      <c r="E12" s="294" t="s">
        <v>63</v>
      </c>
      <c r="F12" s="295" t="s">
        <v>63</v>
      </c>
      <c r="G12" s="295" t="s">
        <v>51</v>
      </c>
      <c r="H12" s="281" t="s">
        <v>51</v>
      </c>
      <c r="I12" s="281" t="s">
        <v>194</v>
      </c>
      <c r="J12" s="295" t="s">
        <v>194</v>
      </c>
      <c r="K12" s="281" t="s">
        <v>63</v>
      </c>
      <c r="L12" s="281" t="s">
        <v>38</v>
      </c>
      <c r="M12" s="280" t="s">
        <v>63</v>
      </c>
      <c r="N12" s="281"/>
      <c r="O12" s="281"/>
      <c r="P12" s="282"/>
      <c r="Q12" s="278"/>
      <c r="R12" s="278"/>
      <c r="S12" s="539" t="s">
        <v>13</v>
      </c>
      <c r="T12" s="540" t="s">
        <v>63</v>
      </c>
      <c r="U12" s="541" t="s">
        <v>63</v>
      </c>
      <c r="V12" s="542"/>
      <c r="W12" s="248"/>
      <c r="X12" s="248"/>
      <c r="Y12" s="248"/>
      <c r="Z12" s="248"/>
      <c r="AA12" s="248"/>
      <c r="AB12" s="249"/>
      <c r="AC12" s="978"/>
      <c r="AD12" s="979" t="s">
        <v>214</v>
      </c>
      <c r="AE12" s="980" t="str">
        <f>Q48</f>
        <v>Fail</v>
      </c>
      <c r="AF12" s="222"/>
      <c r="AG12" s="229"/>
    </row>
    <row r="13" spans="1:32" ht="13.5" customHeight="1" thickBot="1" thickTop="1">
      <c r="A13" s="613" t="str">
        <f>MainForm!B12</f>
        <v>Petroleum EC Fraction</v>
      </c>
      <c r="B13" s="753"/>
      <c r="C13" s="629"/>
      <c r="D13" s="626"/>
      <c r="E13" s="627"/>
      <c r="F13" s="628"/>
      <c r="G13" s="628"/>
      <c r="H13" s="629"/>
      <c r="I13" s="629"/>
      <c r="J13" s="628"/>
      <c r="K13" s="629"/>
      <c r="L13" s="630"/>
      <c r="M13" s="626"/>
      <c r="N13" s="629"/>
      <c r="O13" s="629"/>
      <c r="P13" s="631"/>
      <c r="Q13" s="632"/>
      <c r="R13" s="633"/>
      <c r="S13" s="634"/>
      <c r="T13" s="635"/>
      <c r="U13" s="636"/>
      <c r="V13" s="637"/>
      <c r="W13" s="222"/>
      <c r="X13" s="222"/>
      <c r="Y13" s="222"/>
      <c r="Z13" s="222"/>
      <c r="AA13" s="222"/>
      <c r="AB13" s="222"/>
      <c r="AC13" s="1958">
        <f>IF(sdc_ul_3="Pass",IF(AE9&gt;1000,"Check Residual Saturation (WAC340-747(10))",""),"")</f>
      </c>
      <c r="AD13" s="1959"/>
      <c r="AE13" s="1960"/>
      <c r="AF13" s="222"/>
    </row>
    <row r="14" spans="1:32" ht="13.5" customHeight="1" thickBot="1">
      <c r="A14" s="1465" t="str">
        <f>MainForm!B13</f>
        <v>AL_EC &gt;5-6</v>
      </c>
      <c r="B14" s="754">
        <f>MainForm!G13</f>
        <v>35</v>
      </c>
      <c r="C14" s="641">
        <v>1</v>
      </c>
      <c r="D14" s="638">
        <v>0.2</v>
      </c>
      <c r="E14" s="639">
        <f>VLOOKUP(A14,chemlist2,12,FALSE)</f>
        <v>0.03</v>
      </c>
      <c r="F14" s="639">
        <f>VLOOKUP(A14,chemlist2,13,FALSE)</f>
        <v>0.8</v>
      </c>
      <c r="G14" s="640">
        <f>VLOOKUP(A14,chemlist2,8,FALSE)</f>
        <v>1.7</v>
      </c>
      <c r="H14" s="641">
        <f>F14*G14</f>
        <v>1.36</v>
      </c>
      <c r="I14" s="641"/>
      <c r="J14" s="640"/>
      <c r="K14" s="642">
        <f>IF(B14=0,"",(B14*(EF*ED*((SIR*C14/(1000000*G14))+(SA*D14*E14/(H14*1000000)))))/(ABW*AT))</f>
        <v>0.0002785845588235294</v>
      </c>
      <c r="L14" s="642">
        <f aca="true" t="shared" si="0" ref="L14:L32">IF(B14=0,"",IF(ISBLANK(G14)," ",100*K14/$K$44))</f>
        <v>0.10707139382556467</v>
      </c>
      <c r="M14" s="643"/>
      <c r="N14" s="642"/>
      <c r="O14" s="642"/>
      <c r="P14" s="644"/>
      <c r="Q14" s="645"/>
      <c r="R14" s="645">
        <f aca="true" t="shared" si="1" ref="R14:R32">B14/$B$44</f>
        <v>0.04141276696444418</v>
      </c>
      <c r="S14" s="646">
        <f aca="true" t="shared" si="2" ref="S14:S32">R14*$S$44</f>
        <v>12.731600691228792</v>
      </c>
      <c r="T14" s="647">
        <f>IF(B14=0,"",(S14*(EF*ED*((SIR*C14/(1000000*G14))+(SA*D14*E14/(H14*1000000)))))/(ABW*AT))</f>
        <v>0.0001013379246195233</v>
      </c>
      <c r="U14" s="648"/>
      <c r="V14" s="649"/>
      <c r="W14" s="650"/>
      <c r="X14" s="650"/>
      <c r="Y14" s="650"/>
      <c r="Z14" s="650"/>
      <c r="AA14" s="651"/>
      <c r="AB14" s="222"/>
      <c r="AC14" s="222"/>
      <c r="AD14" s="222"/>
      <c r="AE14" s="222"/>
      <c r="AF14" s="222"/>
    </row>
    <row r="15" spans="1:35" ht="15.75" customHeight="1" thickBot="1">
      <c r="A15" s="1465" t="str">
        <f>MainForm!B14</f>
        <v>AL_EC &gt;6-8</v>
      </c>
      <c r="B15" s="754">
        <f>MainForm!G14</f>
        <v>20</v>
      </c>
      <c r="C15" s="641">
        <v>1</v>
      </c>
      <c r="D15" s="638">
        <v>0.2</v>
      </c>
      <c r="E15" s="639">
        <f aca="true" t="shared" si="3" ref="E15:E43">VLOOKUP(A15,chemlist2,12,FALSE)</f>
        <v>0.03</v>
      </c>
      <c r="F15" s="639">
        <f aca="true" t="shared" si="4" ref="F15:F43">VLOOKUP(A15,chemlist2,13,FALSE)</f>
        <v>0.8</v>
      </c>
      <c r="G15" s="640">
        <f aca="true" t="shared" si="5" ref="G15:G35">VLOOKUP(A15,chemlist2,8,FALSE)</f>
        <v>1.7</v>
      </c>
      <c r="H15" s="641">
        <f aca="true" t="shared" si="6" ref="H15:H35">F15*G15</f>
        <v>1.36</v>
      </c>
      <c r="I15" s="641"/>
      <c r="J15" s="640"/>
      <c r="K15" s="642">
        <f aca="true" t="shared" si="7" ref="K15:K29">IF(B15=0,"",(B15*(EF*ED*((SIR*C15/(1000000*G15))+(SA*D15*E15/(H15*1000000)))))/(ABW*AT))</f>
        <v>0.00015919117647058824</v>
      </c>
      <c r="L15" s="642">
        <f t="shared" si="0"/>
        <v>0.06118365361460839</v>
      </c>
      <c r="M15" s="643"/>
      <c r="N15" s="642"/>
      <c r="O15" s="642"/>
      <c r="P15" s="644"/>
      <c r="Q15" s="645"/>
      <c r="R15" s="645">
        <f t="shared" si="1"/>
        <v>0.023664438265396676</v>
      </c>
      <c r="S15" s="646">
        <f t="shared" si="2"/>
        <v>7.275200394987881</v>
      </c>
      <c r="T15" s="647">
        <f aca="true" t="shared" si="8" ref="T15:T29">IF(B15=0,"",(S15*(EF*ED*((SIR*C15/(1000000*G15))+(SA*D15*E15/(H15*1000000)))))/(ABW*AT))</f>
        <v>5.7907385496870455E-05</v>
      </c>
      <c r="U15" s="648"/>
      <c r="V15" s="649"/>
      <c r="W15" s="650"/>
      <c r="X15" s="650"/>
      <c r="Y15" s="650"/>
      <c r="Z15" s="650"/>
      <c r="AA15" s="651"/>
      <c r="AB15" s="222"/>
      <c r="AC15" s="1869" t="s">
        <v>518</v>
      </c>
      <c r="AD15" s="1870"/>
      <c r="AE15" s="1871"/>
      <c r="AF15" s="222"/>
      <c r="AH15" s="241"/>
      <c r="AI15" s="238"/>
    </row>
    <row r="16" spans="1:34" ht="13.5" customHeight="1" thickTop="1">
      <c r="A16" s="1465" t="str">
        <f>MainForm!B15</f>
        <v>AL_EC &gt;8-10</v>
      </c>
      <c r="B16" s="754">
        <f>MainForm!G15</f>
        <v>40</v>
      </c>
      <c r="C16" s="641">
        <v>1</v>
      </c>
      <c r="D16" s="638">
        <v>0.2</v>
      </c>
      <c r="E16" s="639">
        <f t="shared" si="3"/>
        <v>0.03</v>
      </c>
      <c r="F16" s="639">
        <f t="shared" si="4"/>
        <v>0.8</v>
      </c>
      <c r="G16" s="640">
        <f t="shared" si="5"/>
        <v>0.03</v>
      </c>
      <c r="H16" s="641">
        <f t="shared" si="6"/>
        <v>0.024</v>
      </c>
      <c r="I16" s="641"/>
      <c r="J16" s="640"/>
      <c r="K16" s="642">
        <f t="shared" si="7"/>
        <v>0.018041666666666668</v>
      </c>
      <c r="L16" s="642">
        <f t="shared" si="0"/>
        <v>6.934147409655617</v>
      </c>
      <c r="M16" s="643"/>
      <c r="N16" s="642"/>
      <c r="O16" s="642"/>
      <c r="P16" s="644"/>
      <c r="Q16" s="645"/>
      <c r="R16" s="645">
        <f t="shared" si="1"/>
        <v>0.04732887653079335</v>
      </c>
      <c r="S16" s="646">
        <f t="shared" si="2"/>
        <v>14.550400789975763</v>
      </c>
      <c r="T16" s="647">
        <f t="shared" si="8"/>
        <v>0.006562837022978652</v>
      </c>
      <c r="U16" s="648"/>
      <c r="V16" s="649"/>
      <c r="W16" s="650"/>
      <c r="X16" s="650"/>
      <c r="Y16" s="650"/>
      <c r="Z16" s="650"/>
      <c r="AA16" s="651"/>
      <c r="AB16" s="222"/>
      <c r="AC16" s="652"/>
      <c r="AD16" s="653"/>
      <c r="AE16" s="654"/>
      <c r="AF16" s="222"/>
      <c r="AH16" s="241"/>
    </row>
    <row r="17" spans="1:34" ht="12.75" customHeight="1">
      <c r="A17" s="1465" t="str">
        <f>MainForm!B16</f>
        <v>AL_EC &gt;10-12</v>
      </c>
      <c r="B17" s="754">
        <f>MainForm!G16</f>
        <v>57</v>
      </c>
      <c r="C17" s="641">
        <v>1</v>
      </c>
      <c r="D17" s="638">
        <v>0.2</v>
      </c>
      <c r="E17" s="639">
        <f t="shared" si="3"/>
        <v>0.03</v>
      </c>
      <c r="F17" s="639">
        <f t="shared" si="4"/>
        <v>0.8</v>
      </c>
      <c r="G17" s="640">
        <f t="shared" si="5"/>
        <v>0.03</v>
      </c>
      <c r="H17" s="641">
        <f t="shared" si="6"/>
        <v>0.024</v>
      </c>
      <c r="I17" s="641"/>
      <c r="J17" s="640"/>
      <c r="K17" s="642">
        <f t="shared" si="7"/>
        <v>0.025709375000000003</v>
      </c>
      <c r="L17" s="642">
        <f t="shared" si="0"/>
        <v>9.881160058759257</v>
      </c>
      <c r="M17" s="643"/>
      <c r="N17" s="642"/>
      <c r="O17" s="642"/>
      <c r="P17" s="644"/>
      <c r="Q17" s="645"/>
      <c r="R17" s="645">
        <f t="shared" si="1"/>
        <v>0.06744364905638052</v>
      </c>
      <c r="S17" s="646">
        <f t="shared" si="2"/>
        <v>20.73432112571546</v>
      </c>
      <c r="T17" s="647">
        <f t="shared" si="8"/>
        <v>0.009352042757744579</v>
      </c>
      <c r="U17" s="648"/>
      <c r="V17" s="649"/>
      <c r="W17" s="650"/>
      <c r="X17" s="650"/>
      <c r="Y17" s="650"/>
      <c r="Z17" s="650"/>
      <c r="AA17" s="651"/>
      <c r="AB17" s="222"/>
      <c r="AC17" s="652"/>
      <c r="AD17" s="653"/>
      <c r="AE17" s="654"/>
      <c r="AF17" s="222"/>
      <c r="AH17" s="241"/>
    </row>
    <row r="18" spans="1:35" ht="12.75" customHeight="1">
      <c r="A18" s="1465" t="str">
        <f>MainForm!B17</f>
        <v>AL_EC &gt;12-16</v>
      </c>
      <c r="B18" s="754">
        <f>MainForm!G17</f>
        <v>125</v>
      </c>
      <c r="C18" s="641">
        <v>1</v>
      </c>
      <c r="D18" s="638">
        <v>0.2</v>
      </c>
      <c r="E18" s="639">
        <f t="shared" si="3"/>
        <v>0.1</v>
      </c>
      <c r="F18" s="639">
        <f t="shared" si="4"/>
        <v>0.5</v>
      </c>
      <c r="G18" s="640">
        <f t="shared" si="5"/>
        <v>0.03</v>
      </c>
      <c r="H18" s="641">
        <f t="shared" si="6"/>
        <v>0.015</v>
      </c>
      <c r="I18" s="641"/>
      <c r="J18" s="640"/>
      <c r="K18" s="642">
        <f t="shared" si="7"/>
        <v>0.07500000000000001</v>
      </c>
      <c r="L18" s="642">
        <f t="shared" si="0"/>
        <v>28.825555051686173</v>
      </c>
      <c r="M18" s="643"/>
      <c r="N18" s="642"/>
      <c r="O18" s="642"/>
      <c r="P18" s="644"/>
      <c r="Q18" s="645"/>
      <c r="R18" s="645">
        <f t="shared" si="1"/>
        <v>0.14790273915872923</v>
      </c>
      <c r="S18" s="646">
        <f t="shared" si="2"/>
        <v>45.47000246867426</v>
      </c>
      <c r="T18" s="647">
        <f t="shared" si="8"/>
        <v>0.02728200148120456</v>
      </c>
      <c r="U18" s="648"/>
      <c r="V18" s="649"/>
      <c r="W18" s="650"/>
      <c r="X18" s="650"/>
      <c r="Y18" s="650"/>
      <c r="Z18" s="650"/>
      <c r="AA18" s="651"/>
      <c r="AB18" s="222"/>
      <c r="AC18" s="652"/>
      <c r="AD18" s="653"/>
      <c r="AE18" s="654"/>
      <c r="AF18" s="222"/>
      <c r="AH18" s="241"/>
      <c r="AI18" s="238"/>
    </row>
    <row r="19" spans="1:35" ht="12.75" customHeight="1">
      <c r="A19" s="1465" t="str">
        <f>MainForm!B18</f>
        <v>AL_EC &gt;16-21</v>
      </c>
      <c r="B19" s="754">
        <f>MainForm!G18</f>
        <v>300</v>
      </c>
      <c r="C19" s="641">
        <v>1</v>
      </c>
      <c r="D19" s="638">
        <v>0.2</v>
      </c>
      <c r="E19" s="639">
        <f t="shared" si="3"/>
        <v>0.1</v>
      </c>
      <c r="F19" s="639">
        <f t="shared" si="4"/>
        <v>0.5</v>
      </c>
      <c r="G19" s="640">
        <f t="shared" si="5"/>
        <v>2</v>
      </c>
      <c r="H19" s="641">
        <f t="shared" si="6"/>
        <v>1</v>
      </c>
      <c r="I19" s="641"/>
      <c r="J19" s="640"/>
      <c r="K19" s="642">
        <f t="shared" si="7"/>
        <v>0.0026999999999999997</v>
      </c>
      <c r="L19" s="642">
        <f t="shared" si="0"/>
        <v>1.037719981860702</v>
      </c>
      <c r="M19" s="643"/>
      <c r="N19" s="642"/>
      <c r="O19" s="642"/>
      <c r="P19" s="644"/>
      <c r="Q19" s="645"/>
      <c r="R19" s="645">
        <f t="shared" si="1"/>
        <v>0.35496657398095016</v>
      </c>
      <c r="S19" s="646">
        <f t="shared" si="2"/>
        <v>109.12800592481824</v>
      </c>
      <c r="T19" s="647">
        <f t="shared" si="8"/>
        <v>0.0009821520533233642</v>
      </c>
      <c r="U19" s="648"/>
      <c r="V19" s="649"/>
      <c r="W19" s="650"/>
      <c r="X19" s="650"/>
      <c r="Y19" s="650"/>
      <c r="Z19" s="650"/>
      <c r="AA19" s="651"/>
      <c r="AB19" s="222"/>
      <c r="AC19" s="652"/>
      <c r="AD19" s="653"/>
      <c r="AE19" s="654"/>
      <c r="AF19" s="222"/>
      <c r="AH19" s="241"/>
      <c r="AI19" s="238"/>
    </row>
    <row r="20" spans="1:35" ht="12.75" customHeight="1">
      <c r="A20" s="1591" t="str">
        <f>MainForm!B19</f>
        <v>AL_EC &gt;21-34</v>
      </c>
      <c r="B20" s="1555">
        <f>MainForm!G19</f>
        <v>0</v>
      </c>
      <c r="C20" s="1556">
        <v>1</v>
      </c>
      <c r="D20" s="1557">
        <v>0.2</v>
      </c>
      <c r="E20" s="1557">
        <f t="shared" si="3"/>
        <v>0.1</v>
      </c>
      <c r="F20" s="1557">
        <f t="shared" si="4"/>
        <v>0.5</v>
      </c>
      <c r="G20" s="1558">
        <f t="shared" si="5"/>
        <v>2</v>
      </c>
      <c r="H20" s="1556">
        <f t="shared" si="6"/>
        <v>1</v>
      </c>
      <c r="I20" s="1556"/>
      <c r="J20" s="1558"/>
      <c r="K20" s="1559">
        <f t="shared" si="7"/>
      </c>
      <c r="L20" s="1560">
        <f t="shared" si="0"/>
      </c>
      <c r="M20" s="1561"/>
      <c r="N20" s="1559"/>
      <c r="O20" s="1559"/>
      <c r="P20" s="1562"/>
      <c r="Q20" s="1563"/>
      <c r="R20" s="1563">
        <f t="shared" si="1"/>
        <v>0</v>
      </c>
      <c r="S20" s="1564">
        <f t="shared" si="2"/>
        <v>0</v>
      </c>
      <c r="T20" s="1565">
        <f t="shared" si="8"/>
      </c>
      <c r="U20" s="1566"/>
      <c r="V20" s="1567"/>
      <c r="W20" s="650"/>
      <c r="X20" s="650"/>
      <c r="Y20" s="650"/>
      <c r="Z20" s="650"/>
      <c r="AA20" s="651"/>
      <c r="AB20" s="222"/>
      <c r="AC20" s="652"/>
      <c r="AD20" s="653"/>
      <c r="AE20" s="654"/>
      <c r="AF20" s="222"/>
      <c r="AH20" s="241"/>
      <c r="AI20" s="238"/>
    </row>
    <row r="21" spans="1:32" ht="12.75" customHeight="1">
      <c r="A21" s="1465" t="str">
        <f>MainForm!B20</f>
        <v>AR_EC &gt;8-10</v>
      </c>
      <c r="B21" s="754">
        <f>MainForm!G20</f>
        <v>1</v>
      </c>
      <c r="C21" s="641">
        <v>1</v>
      </c>
      <c r="D21" s="638">
        <v>0.2</v>
      </c>
      <c r="E21" s="639">
        <f t="shared" si="3"/>
        <v>0.03</v>
      </c>
      <c r="F21" s="639">
        <f t="shared" si="4"/>
        <v>0.8</v>
      </c>
      <c r="G21" s="640">
        <f t="shared" si="5"/>
        <v>0.1</v>
      </c>
      <c r="H21" s="641">
        <f t="shared" si="6"/>
        <v>0.08000000000000002</v>
      </c>
      <c r="I21" s="641"/>
      <c r="J21" s="640"/>
      <c r="K21" s="642">
        <f t="shared" si="7"/>
        <v>0.0001353125</v>
      </c>
      <c r="L21" s="642">
        <f t="shared" si="0"/>
        <v>0.052006105572417125</v>
      </c>
      <c r="M21" s="643"/>
      <c r="N21" s="642"/>
      <c r="O21" s="642"/>
      <c r="P21" s="656">
        <f>IF((M21-0.000001)&gt;0,"Fail","")</f>
      </c>
      <c r="Q21" s="645"/>
      <c r="R21" s="645">
        <f t="shared" si="1"/>
        <v>0.0011832219132698338</v>
      </c>
      <c r="S21" s="646">
        <f t="shared" si="2"/>
        <v>0.3637600197493941</v>
      </c>
      <c r="T21" s="647">
        <f t="shared" si="8"/>
        <v>4.922127767233988E-05</v>
      </c>
      <c r="U21" s="648"/>
      <c r="V21" s="657">
        <f aca="true" t="shared" si="9" ref="V21:V29">IF((U21-0.000001)&gt;0,"Fail","")</f>
      </c>
      <c r="W21" s="650"/>
      <c r="X21" s="650"/>
      <c r="Y21" s="650"/>
      <c r="Z21" s="650"/>
      <c r="AA21" s="651"/>
      <c r="AB21" s="222"/>
      <c r="AC21" s="760"/>
      <c r="AD21" s="761"/>
      <c r="AE21" s="762"/>
      <c r="AF21" s="222"/>
    </row>
    <row r="22" spans="1:32" ht="13.5" customHeight="1">
      <c r="A22" s="1465" t="str">
        <f>MainForm!B21</f>
        <v>AR_EC &gt;10-12</v>
      </c>
      <c r="B22" s="754">
        <f>MainForm!G21</f>
        <v>24</v>
      </c>
      <c r="C22" s="641">
        <v>1</v>
      </c>
      <c r="D22" s="638">
        <v>0.2</v>
      </c>
      <c r="E22" s="639">
        <f t="shared" si="3"/>
        <v>0.03</v>
      </c>
      <c r="F22" s="639">
        <f t="shared" si="4"/>
        <v>0.8</v>
      </c>
      <c r="G22" s="640">
        <f t="shared" si="5"/>
        <v>0.02</v>
      </c>
      <c r="H22" s="641">
        <f t="shared" si="6"/>
        <v>0.016</v>
      </c>
      <c r="I22" s="641"/>
      <c r="J22" s="640"/>
      <c r="K22" s="642">
        <f t="shared" si="7"/>
        <v>0.0162375</v>
      </c>
      <c r="L22" s="642">
        <f t="shared" si="0"/>
        <v>6.240732668690055</v>
      </c>
      <c r="M22" s="643"/>
      <c r="N22" s="642"/>
      <c r="O22" s="642"/>
      <c r="P22" s="656">
        <f>IF((M22-0.000001)&gt;0,"Fail","")</f>
      </c>
      <c r="Q22" s="645"/>
      <c r="R22" s="645">
        <f t="shared" si="1"/>
        <v>0.02839732591847601</v>
      </c>
      <c r="S22" s="646">
        <f t="shared" si="2"/>
        <v>8.730240473985457</v>
      </c>
      <c r="T22" s="647">
        <f t="shared" si="8"/>
        <v>0.005906553320680786</v>
      </c>
      <c r="U22" s="648"/>
      <c r="V22" s="657">
        <f t="shared" si="9"/>
      </c>
      <c r="W22" s="650"/>
      <c r="X22" s="650"/>
      <c r="Y22" s="650"/>
      <c r="Z22" s="650"/>
      <c r="AA22" s="651"/>
      <c r="AB22" s="222"/>
      <c r="AC22" s="745" t="s">
        <v>580</v>
      </c>
      <c r="AD22" s="222"/>
      <c r="AE22" s="673"/>
      <c r="AF22" s="222"/>
    </row>
    <row r="23" spans="1:32" ht="13.5" customHeight="1">
      <c r="A23" s="1465" t="str">
        <f>MainForm!B22</f>
        <v>AR_EC &gt;12-16</v>
      </c>
      <c r="B23" s="754">
        <f>MainForm!G22</f>
        <v>55</v>
      </c>
      <c r="C23" s="641">
        <v>1</v>
      </c>
      <c r="D23" s="638">
        <v>0.2</v>
      </c>
      <c r="E23" s="639">
        <f t="shared" si="3"/>
        <v>0.1</v>
      </c>
      <c r="F23" s="639">
        <f t="shared" si="4"/>
        <v>0.5</v>
      </c>
      <c r="G23" s="640">
        <f t="shared" si="5"/>
        <v>0.05</v>
      </c>
      <c r="H23" s="641">
        <f t="shared" si="6"/>
        <v>0.025</v>
      </c>
      <c r="I23" s="641"/>
      <c r="J23" s="640"/>
      <c r="K23" s="642">
        <f t="shared" si="7"/>
        <v>0.0198</v>
      </c>
      <c r="L23" s="642">
        <f t="shared" si="0"/>
        <v>7.609946533645149</v>
      </c>
      <c r="M23" s="643"/>
      <c r="N23" s="642"/>
      <c r="O23" s="642"/>
      <c r="P23" s="656">
        <f>IF((M23-0.000001)&gt;0,"Fail","")</f>
      </c>
      <c r="Q23" s="645"/>
      <c r="R23" s="645">
        <f t="shared" si="1"/>
        <v>0.06507720522984085</v>
      </c>
      <c r="S23" s="646">
        <f t="shared" si="2"/>
        <v>20.006801086216672</v>
      </c>
      <c r="T23" s="647">
        <f t="shared" si="8"/>
        <v>0.007202448391038002</v>
      </c>
      <c r="U23" s="648"/>
      <c r="V23" s="657">
        <f t="shared" si="9"/>
      </c>
      <c r="W23" s="650"/>
      <c r="X23" s="650"/>
      <c r="Y23" s="650"/>
      <c r="Z23" s="650"/>
      <c r="AA23" s="651"/>
      <c r="AB23" s="222"/>
      <c r="AC23" s="746" t="s">
        <v>494</v>
      </c>
      <c r="AD23" s="756"/>
      <c r="AE23" s="747"/>
      <c r="AF23" s="222"/>
    </row>
    <row r="24" spans="1:32" ht="12" customHeight="1">
      <c r="A24" s="1465" t="str">
        <f>MainForm!B23</f>
        <v>AR_EC &gt;16-21</v>
      </c>
      <c r="B24" s="754">
        <f>MainForm!G23</f>
        <v>145</v>
      </c>
      <c r="C24" s="641">
        <v>1</v>
      </c>
      <c r="D24" s="638">
        <v>0.2</v>
      </c>
      <c r="E24" s="639">
        <f t="shared" si="3"/>
        <v>0.1</v>
      </c>
      <c r="F24" s="639">
        <f t="shared" si="4"/>
        <v>0.5</v>
      </c>
      <c r="G24" s="640">
        <f t="shared" si="5"/>
        <v>0.03</v>
      </c>
      <c r="H24" s="641">
        <f t="shared" si="6"/>
        <v>0.015</v>
      </c>
      <c r="I24" s="641"/>
      <c r="J24" s="640"/>
      <c r="K24" s="642">
        <f t="shared" si="7"/>
        <v>0.08700000000000001</v>
      </c>
      <c r="L24" s="642">
        <f t="shared" si="0"/>
        <v>33.43764385995596</v>
      </c>
      <c r="M24" s="643"/>
      <c r="N24" s="642"/>
      <c r="O24" s="642"/>
      <c r="P24" s="656">
        <f>IF((M24-0.000001)&gt;0,"Fail","")</f>
      </c>
      <c r="Q24" s="645"/>
      <c r="R24" s="645">
        <f t="shared" si="1"/>
        <v>0.1715671774241259</v>
      </c>
      <c r="S24" s="646">
        <f t="shared" si="2"/>
        <v>52.745202863662136</v>
      </c>
      <c r="T24" s="647">
        <f t="shared" si="8"/>
        <v>0.03164712171819729</v>
      </c>
      <c r="U24" s="648"/>
      <c r="V24" s="657">
        <f t="shared" si="9"/>
      </c>
      <c r="W24" s="650"/>
      <c r="X24" s="650"/>
      <c r="Y24" s="650"/>
      <c r="Z24" s="650"/>
      <c r="AA24" s="651"/>
      <c r="AB24" s="222"/>
      <c r="AC24" s="655"/>
      <c r="AD24" s="594" t="s">
        <v>581</v>
      </c>
      <c r="AE24" s="748"/>
      <c r="AF24" s="222"/>
    </row>
    <row r="25" spans="1:32" ht="16.5" customHeight="1" thickBot="1">
      <c r="A25" s="1592" t="str">
        <f>MainForm!B24</f>
        <v>AR_EC &gt;21-34</v>
      </c>
      <c r="B25" s="755">
        <f>MainForm!G24</f>
        <v>0</v>
      </c>
      <c r="C25" s="662">
        <v>1</v>
      </c>
      <c r="D25" s="659">
        <v>0.2</v>
      </c>
      <c r="E25" s="660">
        <f t="shared" si="3"/>
        <v>0.1</v>
      </c>
      <c r="F25" s="660">
        <f t="shared" si="4"/>
        <v>0.5</v>
      </c>
      <c r="G25" s="661">
        <f t="shared" si="5"/>
        <v>0.04</v>
      </c>
      <c r="H25" s="662">
        <f t="shared" si="6"/>
        <v>0.02</v>
      </c>
      <c r="I25" s="662"/>
      <c r="J25" s="661"/>
      <c r="K25" s="665">
        <f t="shared" si="7"/>
      </c>
      <c r="L25" s="663">
        <f t="shared" si="0"/>
      </c>
      <c r="M25" s="664"/>
      <c r="N25" s="665"/>
      <c r="O25" s="665"/>
      <c r="P25" s="666">
        <f>IF((M25-0.000001)&gt;0,"Fail","")</f>
      </c>
      <c r="Q25" s="667"/>
      <c r="R25" s="667">
        <f t="shared" si="1"/>
        <v>0</v>
      </c>
      <c r="S25" s="668">
        <f t="shared" si="2"/>
        <v>0</v>
      </c>
      <c r="T25" s="669">
        <f t="shared" si="8"/>
      </c>
      <c r="U25" s="670"/>
      <c r="V25" s="671">
        <f t="shared" si="9"/>
      </c>
      <c r="W25" s="650"/>
      <c r="X25" s="650"/>
      <c r="Y25" s="650"/>
      <c r="Z25" s="650"/>
      <c r="AA25" s="651"/>
      <c r="AB25" s="222"/>
      <c r="AC25" s="655"/>
      <c r="AD25" s="594" t="s">
        <v>453</v>
      </c>
      <c r="AE25" s="942"/>
      <c r="AF25" s="222"/>
    </row>
    <row r="26" spans="1:32" ht="15" customHeight="1">
      <c r="A26" s="1465" t="str">
        <f>MainForm!B25</f>
        <v>Benzene</v>
      </c>
      <c r="B26" s="754">
        <f>MainForm!G25</f>
        <v>0.03</v>
      </c>
      <c r="C26" s="641">
        <v>1</v>
      </c>
      <c r="D26" s="638">
        <v>0.2</v>
      </c>
      <c r="E26" s="639">
        <f t="shared" si="3"/>
        <v>0.0005</v>
      </c>
      <c r="F26" s="639">
        <f t="shared" si="4"/>
        <v>0.95</v>
      </c>
      <c r="G26" s="640">
        <f t="shared" si="5"/>
        <v>0.004</v>
      </c>
      <c r="H26" s="641">
        <f t="shared" si="6"/>
        <v>0.0038</v>
      </c>
      <c r="I26" s="641">
        <f aca="true" t="shared" si="10" ref="I26:I43">VLOOKUP(A26,chemlist2,14,FALSE)</f>
        <v>0.055</v>
      </c>
      <c r="J26" s="640">
        <f aca="true" t="shared" si="11" ref="J26:J43">I26/F26</f>
        <v>0.05789473684210526</v>
      </c>
      <c r="K26" s="642">
        <f t="shared" si="7"/>
        <v>9.385855263157895E-05</v>
      </c>
      <c r="L26" s="642">
        <f t="shared" si="0"/>
        <v>0.03607366501270884</v>
      </c>
      <c r="M26" s="643">
        <f>B26*(EF*ED*((SIR*C26*I26/(1000000))+(SA*D26*E26*J26/(1000000))))/(ABW*AT_C)</f>
        <v>1.6519105263157893E-09</v>
      </c>
      <c r="N26" s="642"/>
      <c r="O26" s="642"/>
      <c r="P26" s="656">
        <f>IF(Q26=1,"Fail","")</f>
      </c>
      <c r="Q26" s="1671">
        <f>IF(M26&gt;0.000001001,1,0)</f>
        <v>0</v>
      </c>
      <c r="R26" s="645">
        <f t="shared" si="1"/>
        <v>3.549665739809501E-05</v>
      </c>
      <c r="S26" s="646">
        <f t="shared" si="2"/>
        <v>0.010912800592481823</v>
      </c>
      <c r="T26" s="647">
        <f t="shared" si="8"/>
        <v>3.4141988958912704E-05</v>
      </c>
      <c r="U26" s="672">
        <f>S26*(EF*ED*((SIR*C26*I26/(1000000))+(SA*D26*E26*J26/(1000000))))/(ABW*AT_C)</f>
        <v>6.008990056768635E-10</v>
      </c>
      <c r="V26" s="657">
        <f>IF(W26=1,"Fail","")</f>
      </c>
      <c r="W26" s="650">
        <f>IF(U26&gt;0.000001001,1,0)</f>
        <v>0</v>
      </c>
      <c r="X26" s="650"/>
      <c r="Y26" s="650"/>
      <c r="Z26" s="650"/>
      <c r="AA26" s="651"/>
      <c r="AB26" s="222"/>
      <c r="AC26" s="736"/>
      <c r="AD26" s="737" t="s">
        <v>516</v>
      </c>
      <c r="AE26" s="961"/>
      <c r="AF26" s="222"/>
    </row>
    <row r="27" spans="1:33" ht="15.75" customHeight="1" thickBot="1">
      <c r="A27" s="1465" t="str">
        <f>MainForm!B26</f>
        <v>Toluene</v>
      </c>
      <c r="B27" s="754">
        <f>MainForm!G26</f>
        <v>5</v>
      </c>
      <c r="C27" s="641">
        <v>1</v>
      </c>
      <c r="D27" s="638">
        <v>0.2</v>
      </c>
      <c r="E27" s="639">
        <f t="shared" si="3"/>
        <v>0.03</v>
      </c>
      <c r="F27" s="639">
        <f t="shared" si="4"/>
        <v>1</v>
      </c>
      <c r="G27" s="640">
        <f t="shared" si="5"/>
        <v>0.08</v>
      </c>
      <c r="H27" s="641">
        <f t="shared" si="6"/>
        <v>0.08</v>
      </c>
      <c r="I27" s="641"/>
      <c r="J27" s="640"/>
      <c r="K27" s="642">
        <f t="shared" si="7"/>
        <v>0.0008328124999999999</v>
      </c>
      <c r="L27" s="642">
        <f t="shared" si="0"/>
        <v>0.3200837675530985</v>
      </c>
      <c r="M27" s="643"/>
      <c r="N27" s="642"/>
      <c r="O27" s="642"/>
      <c r="P27" s="656">
        <f aca="true" t="shared" si="12" ref="P27:P36">IF(Q27=1,"Fail","")</f>
      </c>
      <c r="Q27" s="1671"/>
      <c r="R27" s="645">
        <f t="shared" si="1"/>
        <v>0.005916109566349169</v>
      </c>
      <c r="S27" s="646">
        <f t="shared" si="2"/>
        <v>1.8188000987469704</v>
      </c>
      <c r="T27" s="647">
        <f t="shared" si="8"/>
        <v>0.0003029438914475422</v>
      </c>
      <c r="U27" s="648"/>
      <c r="V27" s="657">
        <f t="shared" si="9"/>
      </c>
      <c r="W27" s="650"/>
      <c r="X27" s="650"/>
      <c r="Y27" s="650"/>
      <c r="Z27" s="650"/>
      <c r="AA27" s="651"/>
      <c r="AB27" s="222"/>
      <c r="AC27" s="1930">
        <f>IF(AD23="Pass",IF(dc_ul_tph&gt;1000,"Check Residual Saturation (WAC340-747(10))",""),"")</f>
      </c>
      <c r="AD27" s="1931"/>
      <c r="AE27" s="1932"/>
      <c r="AF27" s="222"/>
      <c r="AG27" s="250"/>
    </row>
    <row r="28" spans="1:32" ht="15" customHeight="1" thickBot="1">
      <c r="A28" s="1465" t="str">
        <f>MainForm!B27</f>
        <v>Ethylbenzene</v>
      </c>
      <c r="B28" s="754">
        <f>MainForm!G27</f>
        <v>7</v>
      </c>
      <c r="C28" s="641">
        <v>1</v>
      </c>
      <c r="D28" s="638">
        <v>0.2</v>
      </c>
      <c r="E28" s="639">
        <f t="shared" si="3"/>
        <v>0.03</v>
      </c>
      <c r="F28" s="639">
        <f t="shared" si="4"/>
        <v>0.92</v>
      </c>
      <c r="G28" s="640">
        <f t="shared" si="5"/>
        <v>0.1</v>
      </c>
      <c r="H28" s="641">
        <f t="shared" si="6"/>
        <v>0.09200000000000001</v>
      </c>
      <c r="I28" s="641"/>
      <c r="J28" s="640"/>
      <c r="K28" s="642">
        <f t="shared" si="7"/>
        <v>0.0009377717391304348</v>
      </c>
      <c r="L28" s="642">
        <f t="shared" si="0"/>
        <v>0.36042387856293107</v>
      </c>
      <c r="M28" s="643"/>
      <c r="N28" s="642"/>
      <c r="O28" s="642"/>
      <c r="P28" s="656">
        <f t="shared" si="12"/>
      </c>
      <c r="Q28" s="1671"/>
      <c r="R28" s="645">
        <f t="shared" si="1"/>
        <v>0.008282553392888836</v>
      </c>
      <c r="S28" s="646">
        <f t="shared" si="2"/>
        <v>2.5463201382457585</v>
      </c>
      <c r="T28" s="647">
        <f t="shared" si="8"/>
        <v>0.0003411238663465106</v>
      </c>
      <c r="U28" s="648"/>
      <c r="V28" s="657">
        <f t="shared" si="9"/>
      </c>
      <c r="W28" s="650"/>
      <c r="X28" s="650"/>
      <c r="Y28" s="650"/>
      <c r="Z28" s="650"/>
      <c r="AA28" s="651"/>
      <c r="AB28" s="222"/>
      <c r="AC28" s="222"/>
      <c r="AD28" s="222"/>
      <c r="AE28" s="222"/>
      <c r="AF28" s="222"/>
    </row>
    <row r="29" spans="1:32" ht="12.75" customHeight="1" thickBot="1">
      <c r="A29" s="1592" t="str">
        <f>MainForm!B28</f>
        <v>Total Xylenes</v>
      </c>
      <c r="B29" s="755">
        <f>MainForm!G28</f>
        <v>13</v>
      </c>
      <c r="C29" s="662">
        <v>1</v>
      </c>
      <c r="D29" s="659">
        <v>0.2</v>
      </c>
      <c r="E29" s="660">
        <f t="shared" si="3"/>
        <v>0.03</v>
      </c>
      <c r="F29" s="660">
        <f t="shared" si="4"/>
        <v>0.9</v>
      </c>
      <c r="G29" s="661">
        <f t="shared" si="5"/>
        <v>0.2</v>
      </c>
      <c r="H29" s="662">
        <f t="shared" si="6"/>
        <v>0.18000000000000002</v>
      </c>
      <c r="I29" s="662"/>
      <c r="J29" s="661"/>
      <c r="K29" s="665">
        <f t="shared" si="7"/>
        <v>0.0008720833333333332</v>
      </c>
      <c r="L29" s="663">
        <f t="shared" si="0"/>
        <v>0.33517714846210633</v>
      </c>
      <c r="M29" s="664"/>
      <c r="N29" s="665"/>
      <c r="O29" s="665"/>
      <c r="P29" s="666">
        <f t="shared" si="12"/>
      </c>
      <c r="Q29" s="1672"/>
      <c r="R29" s="667">
        <f t="shared" si="1"/>
        <v>0.015381884872507839</v>
      </c>
      <c r="S29" s="668">
        <f t="shared" si="2"/>
        <v>4.728880256742123</v>
      </c>
      <c r="T29" s="669">
        <f t="shared" si="8"/>
        <v>0.0003172290505564507</v>
      </c>
      <c r="U29" s="670"/>
      <c r="V29" s="671">
        <f t="shared" si="9"/>
      </c>
      <c r="W29" s="650"/>
      <c r="X29" s="650"/>
      <c r="Y29" s="650"/>
      <c r="Z29" s="650"/>
      <c r="AA29" s="651"/>
      <c r="AB29" s="673"/>
      <c r="AC29" s="1869" t="s">
        <v>517</v>
      </c>
      <c r="AD29" s="1870"/>
      <c r="AE29" s="1871"/>
      <c r="AF29" s="222"/>
    </row>
    <row r="30" spans="1:33" ht="12.75" customHeight="1">
      <c r="A30" s="1465" t="str">
        <f>MainForm!B29</f>
        <v>Naphthalene</v>
      </c>
      <c r="B30" s="754">
        <f>MainForm!G29</f>
        <v>15</v>
      </c>
      <c r="C30" s="641">
        <v>1</v>
      </c>
      <c r="D30" s="638">
        <v>0.2</v>
      </c>
      <c r="E30" s="639">
        <f t="shared" si="3"/>
        <v>0.13</v>
      </c>
      <c r="F30" s="639">
        <f t="shared" si="4"/>
        <v>0.89</v>
      </c>
      <c r="G30" s="640">
        <f t="shared" si="5"/>
        <v>0.02</v>
      </c>
      <c r="H30" s="641">
        <f t="shared" si="6"/>
        <v>0.0178</v>
      </c>
      <c r="I30" s="641"/>
      <c r="J30" s="640"/>
      <c r="K30" s="642">
        <f>IF(B30=0,"",IF(ISERROR((B30*(EF*ED*((SIR*C30/(1000000*G30))+(SA*D30*E30/(H30*1000000)))))/(ABW*AT)),"",(B30*(EF*ED*((SIR*C30/(1000000*G30))+(SA*D30*E30/(H30*1000000)))))/(ABW*AT)))</f>
        <v>0.012387640449438202</v>
      </c>
      <c r="L30" s="642">
        <f t="shared" si="0"/>
        <v>4.76107482314367</v>
      </c>
      <c r="M30" s="643"/>
      <c r="N30" s="642"/>
      <c r="O30" s="642"/>
      <c r="P30" s="656">
        <f t="shared" si="12"/>
      </c>
      <c r="Q30" s="1671"/>
      <c r="R30" s="645">
        <f t="shared" si="1"/>
        <v>0.017748328699047508</v>
      </c>
      <c r="S30" s="646">
        <f t="shared" si="2"/>
        <v>5.456400296240911</v>
      </c>
      <c r="T30" s="647">
        <f>IF(ISERROR((S30*(EF*ED*((SIR*C30/(1000000*G30))+(SA*D30*E30/(H30*1000000)))))/(ABW*AT)),"",(S30*(EF*ED*((SIR*C30/(1000000*G30))+(SA*D30*E30/(H30*1000000)))))/(ABW*AT))</f>
        <v>0.004506128334536033</v>
      </c>
      <c r="U30" s="648"/>
      <c r="V30" s="657">
        <f>IF(ISERROR(U30-0.000001),"",IF((U30-0.000001)&gt;0,"Fail",""))</f>
      </c>
      <c r="W30" s="650"/>
      <c r="X30" s="650"/>
      <c r="Y30" s="650"/>
      <c r="Z30" s="650"/>
      <c r="AA30" s="651"/>
      <c r="AB30" s="673"/>
      <c r="AC30" s="655"/>
      <c r="AD30" s="222"/>
      <c r="AE30" s="673"/>
      <c r="AF30" s="222"/>
      <c r="AG30" s="241"/>
    </row>
    <row r="31" spans="1:33" ht="14.25" customHeight="1">
      <c r="A31" s="1465" t="str">
        <f>MainForm!B30</f>
        <v>1-Methyl Naphthalene</v>
      </c>
      <c r="B31" s="754">
        <f>MainForm!G30</f>
        <v>0</v>
      </c>
      <c r="C31" s="641">
        <v>1</v>
      </c>
      <c r="D31" s="638">
        <v>0.2</v>
      </c>
      <c r="E31" s="639">
        <f t="shared" si="3"/>
        <v>0.01</v>
      </c>
      <c r="F31" s="639">
        <f t="shared" si="4"/>
        <v>0.8</v>
      </c>
      <c r="G31" s="640">
        <f t="shared" si="5"/>
        <v>0.05</v>
      </c>
      <c r="H31" s="641">
        <f t="shared" si="6"/>
        <v>0.04000000000000001</v>
      </c>
      <c r="I31" s="641"/>
      <c r="J31" s="640"/>
      <c r="K31" s="642">
        <f>IF(B31=0,"",IF(ISERROR((B31*(EF*ED*((SIR*C31/(1000000*G31))+(SA*D31*E31/(H31*1000000)))))/(ABW*AT)),"",(B31*(EF*ED*((SIR*C31/(1000000*G31))+(SA*D31*E31/(H31*1000000)))))/(ABW*AT)))</f>
      </c>
      <c r="L31" s="642">
        <f t="shared" si="0"/>
      </c>
      <c r="M31" s="643"/>
      <c r="N31" s="642"/>
      <c r="O31" s="642"/>
      <c r="P31" s="656"/>
      <c r="Q31" s="1671"/>
      <c r="R31" s="645">
        <f t="shared" si="1"/>
        <v>0</v>
      </c>
      <c r="S31" s="646">
        <f t="shared" si="2"/>
        <v>0</v>
      </c>
      <c r="T31" s="647">
        <f>IF(ISERROR((S31*(EF*ED*((SIR*C31/(1000000*G31))+(SA*D31*E31/(H31*1000000)))))/(ABW*AT)),"",(S31*(EF*ED*((SIR*C31/(1000000*G31))+(SA*D31*E31/(H31*1000000)))))/(ABW*AT))</f>
        <v>0</v>
      </c>
      <c r="U31" s="648"/>
      <c r="V31" s="657"/>
      <c r="W31" s="650"/>
      <c r="X31" s="650"/>
      <c r="Y31" s="650"/>
      <c r="Z31" s="650"/>
      <c r="AA31" s="651"/>
      <c r="AB31" s="673"/>
      <c r="AC31" s="655"/>
      <c r="AD31" s="222"/>
      <c r="AE31" s="673"/>
      <c r="AF31" s="222"/>
      <c r="AG31" s="241"/>
    </row>
    <row r="32" spans="1:33" ht="12.75" customHeight="1">
      <c r="A32" s="1465" t="str">
        <f>MainForm!B31</f>
        <v>2-Methyl Naphthalene</v>
      </c>
      <c r="B32" s="754">
        <f>MainForm!G31</f>
        <v>0</v>
      </c>
      <c r="C32" s="641">
        <v>1</v>
      </c>
      <c r="D32" s="638">
        <v>0.2</v>
      </c>
      <c r="E32" s="639">
        <f t="shared" si="3"/>
        <v>0.01</v>
      </c>
      <c r="F32" s="639">
        <f t="shared" si="4"/>
        <v>0.8</v>
      </c>
      <c r="G32" s="640">
        <f t="shared" si="5"/>
        <v>0.004</v>
      </c>
      <c r="H32" s="641">
        <f t="shared" si="6"/>
        <v>0.0032</v>
      </c>
      <c r="I32" s="641"/>
      <c r="J32" s="640"/>
      <c r="K32" s="642">
        <f>IF(B32=0,"",IF(ISERROR((B32*(EF*ED*((SIR*C32/(1000000*G32))+(SA*D32*E32/(H32*1000000)))))/(ABW*AT)),"",(B32*(EF*ED*((SIR*C32/(1000000*G32))+(SA*D32*E32/(H32*1000000)))))/(ABW*AT)))</f>
      </c>
      <c r="L32" s="642">
        <f t="shared" si="0"/>
      </c>
      <c r="M32" s="643"/>
      <c r="N32" s="642"/>
      <c r="O32" s="642"/>
      <c r="P32" s="656"/>
      <c r="Q32" s="1671"/>
      <c r="R32" s="645">
        <f t="shared" si="1"/>
        <v>0</v>
      </c>
      <c r="S32" s="646">
        <f t="shared" si="2"/>
        <v>0</v>
      </c>
      <c r="T32" s="647">
        <f>IF(ISERROR((S32*(EF*ED*((SIR*C32/(1000000*G32))+(SA*D32*E32/(H32*1000000)))))/(ABW*AT)),"",(S32*(EF*ED*((SIR*C32/(1000000*G32))+(SA*D32*E32/(H32*1000000)))))/(ABW*AT))</f>
        <v>0</v>
      </c>
      <c r="U32" s="648"/>
      <c r="V32" s="657"/>
      <c r="W32" s="650"/>
      <c r="X32" s="650"/>
      <c r="Y32" s="650"/>
      <c r="Z32" s="650"/>
      <c r="AA32" s="651"/>
      <c r="AB32" s="673"/>
      <c r="AC32" s="655"/>
      <c r="AD32" s="222"/>
      <c r="AE32" s="673"/>
      <c r="AF32" s="222"/>
      <c r="AG32" s="241"/>
    </row>
    <row r="33" spans="1:33" ht="12.75" customHeight="1">
      <c r="A33" s="1465" t="str">
        <f>MainForm!B32</f>
        <v>n-Hexane</v>
      </c>
      <c r="B33" s="754">
        <f>MainForm!G32</f>
        <v>0</v>
      </c>
      <c r="C33" s="641">
        <v>1</v>
      </c>
      <c r="D33" s="638">
        <v>0.2</v>
      </c>
      <c r="E33" s="639">
        <f t="shared" si="3"/>
        <v>0.03</v>
      </c>
      <c r="F33" s="639">
        <f t="shared" si="4"/>
        <v>0.8</v>
      </c>
      <c r="G33" s="640">
        <f t="shared" si="5"/>
        <v>0.06</v>
      </c>
      <c r="H33" s="641">
        <f t="shared" si="6"/>
        <v>0.048</v>
      </c>
      <c r="I33" s="641"/>
      <c r="J33" s="640"/>
      <c r="K33" s="642">
        <f aca="true" t="shared" si="13" ref="K33:K43">IF(B33=0,"",IF(ISERROR((B33*(EF*ED*((SIR*C33/(1000000*G33))+(SA*D33*E33/(H33*1000000)))))/(ABW*AT)),"",(B33*(EF*ED*((SIR*C33/(1000000*G33))+(SA*D33*E33/(H33*1000000)))))/(ABW*AT)))</f>
      </c>
      <c r="L33" s="642">
        <f aca="true" t="shared" si="14" ref="L33:L43">IF(B33=0,"",IF(ISBLANK(G33)," ",100*K33/$K$44))</f>
      </c>
      <c r="M33" s="643"/>
      <c r="N33" s="642"/>
      <c r="O33" s="642"/>
      <c r="P33" s="656"/>
      <c r="Q33" s="1671"/>
      <c r="R33" s="645">
        <f aca="true" t="shared" si="15" ref="R33:R43">B33/$B$44</f>
        <v>0</v>
      </c>
      <c r="S33" s="646">
        <f aca="true" t="shared" si="16" ref="S33:S43">R33*$S$44</f>
        <v>0</v>
      </c>
      <c r="T33" s="647">
        <f aca="true" t="shared" si="17" ref="T33:T43">IF(ISERROR((S33*(EF*ED*((SIR*C33/(1000000*G33))+(SA*D33*E33/(H33*1000000)))))/(ABW*AT)),"",(S33*(EF*ED*((SIR*C33/(1000000*G33))+(SA*D33*E33/(H33*1000000)))))/(ABW*AT))</f>
        <v>0</v>
      </c>
      <c r="U33" s="648"/>
      <c r="V33" s="657">
        <f>IF(ISERROR(U33-0.000001),"",IF((U33-0.000001)&gt;0,"Fail",""))</f>
      </c>
      <c r="W33" s="650"/>
      <c r="X33" s="650"/>
      <c r="Y33" s="650"/>
      <c r="Z33" s="650"/>
      <c r="AA33" s="651"/>
      <c r="AB33" s="673"/>
      <c r="AC33" s="674"/>
      <c r="AD33" s="593"/>
      <c r="AE33" s="675"/>
      <c r="AF33" s="222"/>
      <c r="AG33" s="241"/>
    </row>
    <row r="34" spans="1:32" ht="12.75" customHeight="1">
      <c r="A34" s="1465" t="str">
        <f>MainForm!B33</f>
        <v>MTBE</v>
      </c>
      <c r="B34" s="754">
        <f>MainForm!G33</f>
        <v>0</v>
      </c>
      <c r="C34" s="641"/>
      <c r="D34" s="638"/>
      <c r="E34" s="639"/>
      <c r="F34" s="639"/>
      <c r="G34" s="640"/>
      <c r="H34" s="641"/>
      <c r="I34" s="641"/>
      <c r="J34" s="640"/>
      <c r="K34" s="642">
        <f t="shared" si="13"/>
      </c>
      <c r="L34" s="642">
        <f t="shared" si="14"/>
      </c>
      <c r="M34" s="643"/>
      <c r="N34" s="642"/>
      <c r="O34" s="642"/>
      <c r="P34" s="656"/>
      <c r="Q34" s="1671"/>
      <c r="R34" s="645">
        <f t="shared" si="15"/>
        <v>0</v>
      </c>
      <c r="S34" s="646">
        <f t="shared" si="16"/>
        <v>0</v>
      </c>
      <c r="T34" s="647">
        <f t="shared" si="17"/>
      </c>
      <c r="U34" s="648"/>
      <c r="V34" s="657">
        <f>IF(ISERROR(U34-0.000001),"",IF((U34-0.000001)&gt;0,"Fail",""))</f>
      </c>
      <c r="W34" s="650"/>
      <c r="X34" s="650"/>
      <c r="Y34" s="650"/>
      <c r="Z34" s="650"/>
      <c r="AA34" s="651"/>
      <c r="AB34" s="673"/>
      <c r="AC34" s="676"/>
      <c r="AD34" s="677"/>
      <c r="AE34" s="678"/>
      <c r="AF34" s="222"/>
    </row>
    <row r="35" spans="1:32" ht="12.75" customHeight="1">
      <c r="A35" s="1465" t="str">
        <f>MainForm!B34</f>
        <v>Ethylene Dibromide (EDB)</v>
      </c>
      <c r="B35" s="754">
        <f>MainForm!G34</f>
        <v>0</v>
      </c>
      <c r="C35" s="641">
        <v>1</v>
      </c>
      <c r="D35" s="638">
        <v>0.2</v>
      </c>
      <c r="E35" s="639">
        <f t="shared" si="3"/>
        <v>0.03</v>
      </c>
      <c r="F35" s="639">
        <f t="shared" si="4"/>
        <v>0.8</v>
      </c>
      <c r="G35" s="640">
        <f t="shared" si="5"/>
        <v>0.009</v>
      </c>
      <c r="H35" s="641">
        <f t="shared" si="6"/>
        <v>0.0072</v>
      </c>
      <c r="I35" s="641">
        <f t="shared" si="10"/>
        <v>85</v>
      </c>
      <c r="J35" s="640">
        <f t="shared" si="11"/>
        <v>106.25</v>
      </c>
      <c r="K35" s="642">
        <f t="shared" si="13"/>
      </c>
      <c r="L35" s="642">
        <f t="shared" si="14"/>
      </c>
      <c r="M35" s="643">
        <f aca="true" t="shared" si="18" ref="M35:M43">B35*(EF*ED*((SIR*C35*I35/(1000000))+(SA*D35*E35*J35/(1000000))))/(ABW*AT_C)</f>
        <v>0</v>
      </c>
      <c r="N35" s="642"/>
      <c r="O35" s="642"/>
      <c r="P35" s="656">
        <f t="shared" si="12"/>
      </c>
      <c r="Q35" s="1671">
        <f>IF(M35&gt;0.000001001,1,0)</f>
        <v>0</v>
      </c>
      <c r="R35" s="645">
        <f t="shared" si="15"/>
        <v>0</v>
      </c>
      <c r="S35" s="646">
        <f t="shared" si="16"/>
        <v>0</v>
      </c>
      <c r="T35" s="647">
        <f t="shared" si="17"/>
        <v>0</v>
      </c>
      <c r="U35" s="648">
        <f aca="true" t="shared" si="19" ref="U35:U43">IF(ISERROR((S35*(EF*ED*((SIR*C35*I35/(1000000))+(SA*D35*E35*J35/(1000000)))))/(ABW*AT_C)),"",(S35*(EF*ED*((SIR*C35*I35/(1000000))+(SA*D35*E35*J35/(1000000)))))/(ABW*AT_C))</f>
        <v>0</v>
      </c>
      <c r="V35" s="657">
        <f>IF(W35=1,"Fail","")</f>
      </c>
      <c r="W35" s="650">
        <f>IF(U35&gt;0.000001001,1,0)</f>
        <v>0</v>
      </c>
      <c r="X35" s="650"/>
      <c r="Y35" s="650"/>
      <c r="Z35" s="650"/>
      <c r="AA35" s="651"/>
      <c r="AB35" s="673" t="s">
        <v>93</v>
      </c>
      <c r="AC35" s="738"/>
      <c r="AD35" s="601"/>
      <c r="AE35" s="739"/>
      <c r="AF35" s="222"/>
    </row>
    <row r="36" spans="1:32" ht="13.5" thickBot="1">
      <c r="A36" s="1592" t="str">
        <f>MainForm!B35</f>
        <v>1,2 Dichloroethane (EDC)</v>
      </c>
      <c r="B36" s="755">
        <f>MainForm!G35</f>
        <v>0</v>
      </c>
      <c r="C36" s="662">
        <v>1</v>
      </c>
      <c r="D36" s="659">
        <v>0.2</v>
      </c>
      <c r="E36" s="660">
        <f t="shared" si="3"/>
        <v>0.03</v>
      </c>
      <c r="F36" s="660">
        <f t="shared" si="4"/>
        <v>0.8</v>
      </c>
      <c r="G36" s="661">
        <f>VLOOKUP(A36,chemlist2,8,FALSE)</f>
        <v>0.03</v>
      </c>
      <c r="H36" s="662">
        <f aca="true" t="shared" si="20" ref="H36:H43">F36*G36</f>
        <v>0.024</v>
      </c>
      <c r="I36" s="662">
        <f t="shared" si="10"/>
        <v>0.091</v>
      </c>
      <c r="J36" s="661">
        <f t="shared" si="11"/>
        <v>0.11374999999999999</v>
      </c>
      <c r="K36" s="665">
        <f t="shared" si="13"/>
      </c>
      <c r="L36" s="663">
        <f t="shared" si="14"/>
      </c>
      <c r="M36" s="664">
        <f>B36*(EF*ED*((SIR*C36*I36/(1000000))+(SA*D36*E36*J36/(1000000))))/(ABW*AT_C)</f>
        <v>0</v>
      </c>
      <c r="N36" s="665"/>
      <c r="O36" s="665"/>
      <c r="P36" s="666">
        <f t="shared" si="12"/>
      </c>
      <c r="Q36" s="1672">
        <f>IF(M36&gt;0.000001001,1,0)</f>
        <v>0</v>
      </c>
      <c r="R36" s="667">
        <f t="shared" si="15"/>
        <v>0</v>
      </c>
      <c r="S36" s="668">
        <f t="shared" si="16"/>
        <v>0</v>
      </c>
      <c r="T36" s="669">
        <f t="shared" si="17"/>
        <v>0</v>
      </c>
      <c r="U36" s="670">
        <f t="shared" si="19"/>
        <v>0</v>
      </c>
      <c r="V36" s="671">
        <f>IF(W36=1,"Fail","")</f>
      </c>
      <c r="W36" s="650">
        <f>IF(U36&gt;0.000001001,1,0)</f>
        <v>0</v>
      </c>
      <c r="X36" s="650"/>
      <c r="Y36" s="650"/>
      <c r="Z36" s="650"/>
      <c r="AA36" s="651"/>
      <c r="AB36" s="222"/>
      <c r="AC36" s="655"/>
      <c r="AD36" s="594" t="s">
        <v>538</v>
      </c>
      <c r="AE36" s="734">
        <v>500</v>
      </c>
      <c r="AF36" s="222"/>
    </row>
    <row r="37" spans="1:32" ht="12.75">
      <c r="A37" s="1465" t="str">
        <f>MainForm!B36</f>
        <v>Benzo(a)anthracene</v>
      </c>
      <c r="B37" s="754">
        <f>MainForm!G36</f>
        <v>0</v>
      </c>
      <c r="C37" s="641">
        <v>1</v>
      </c>
      <c r="D37" s="638">
        <v>0.2</v>
      </c>
      <c r="E37" s="639">
        <f t="shared" si="3"/>
        <v>0.13</v>
      </c>
      <c r="F37" s="639">
        <f t="shared" si="4"/>
        <v>0.89</v>
      </c>
      <c r="G37" s="640"/>
      <c r="H37" s="641">
        <f t="shared" si="20"/>
        <v>0</v>
      </c>
      <c r="I37" s="641">
        <f t="shared" si="10"/>
        <v>0.73</v>
      </c>
      <c r="J37" s="640">
        <f t="shared" si="11"/>
        <v>0.8202247191011236</v>
      </c>
      <c r="K37" s="642">
        <f t="shared" si="13"/>
      </c>
      <c r="L37" s="642">
        <f t="shared" si="14"/>
      </c>
      <c r="M37" s="643">
        <f t="shared" si="18"/>
        <v>0</v>
      </c>
      <c r="N37" s="642"/>
      <c r="O37" s="642"/>
      <c r="P37" s="1800" t="s">
        <v>625</v>
      </c>
      <c r="Q37" s="1671"/>
      <c r="R37" s="645">
        <f t="shared" si="15"/>
        <v>0</v>
      </c>
      <c r="S37" s="646">
        <f t="shared" si="16"/>
        <v>0</v>
      </c>
      <c r="T37" s="647">
        <f t="shared" si="17"/>
      </c>
      <c r="U37" s="648">
        <f t="shared" si="19"/>
        <v>0</v>
      </c>
      <c r="V37" s="1805" t="s">
        <v>626</v>
      </c>
      <c r="W37" s="650"/>
      <c r="X37" s="650"/>
      <c r="Y37" s="650"/>
      <c r="Z37" s="650"/>
      <c r="AA37" s="651"/>
      <c r="AB37" s="222"/>
      <c r="AC37" s="655"/>
      <c r="AD37" s="594" t="s">
        <v>453</v>
      </c>
      <c r="AE37" s="942">
        <v>0.15038760899265483</v>
      </c>
      <c r="AF37" s="222"/>
    </row>
    <row r="38" spans="1:32" ht="12.75">
      <c r="A38" s="1465" t="str">
        <f>MainForm!B37</f>
        <v>Benzo(b)fluoranthene</v>
      </c>
      <c r="B38" s="754">
        <f>MainForm!G37</f>
        <v>0</v>
      </c>
      <c r="C38" s="641">
        <v>1</v>
      </c>
      <c r="D38" s="638">
        <v>0.2</v>
      </c>
      <c r="E38" s="639">
        <f t="shared" si="3"/>
        <v>0.13</v>
      </c>
      <c r="F38" s="639">
        <f t="shared" si="4"/>
        <v>0.89</v>
      </c>
      <c r="G38" s="640"/>
      <c r="H38" s="641">
        <f t="shared" si="20"/>
        <v>0</v>
      </c>
      <c r="I38" s="641">
        <f t="shared" si="10"/>
        <v>0.73</v>
      </c>
      <c r="J38" s="640">
        <f t="shared" si="11"/>
        <v>0.8202247191011236</v>
      </c>
      <c r="K38" s="642">
        <f t="shared" si="13"/>
      </c>
      <c r="L38" s="642">
        <f t="shared" si="14"/>
      </c>
      <c r="M38" s="643">
        <f t="shared" si="18"/>
        <v>0</v>
      </c>
      <c r="N38" s="642"/>
      <c r="O38" s="642"/>
      <c r="P38" s="1800" t="s">
        <v>361</v>
      </c>
      <c r="Q38" s="1671"/>
      <c r="R38" s="645">
        <f t="shared" si="15"/>
        <v>0</v>
      </c>
      <c r="S38" s="646">
        <f t="shared" si="16"/>
        <v>0</v>
      </c>
      <c r="T38" s="647">
        <f t="shared" si="17"/>
      </c>
      <c r="U38" s="648">
        <f t="shared" si="19"/>
        <v>0</v>
      </c>
      <c r="V38" s="1805" t="s">
        <v>368</v>
      </c>
      <c r="W38" s="650"/>
      <c r="X38" s="650"/>
      <c r="Y38" s="650"/>
      <c r="Z38" s="650"/>
      <c r="AA38" s="651"/>
      <c r="AB38" s="222"/>
      <c r="AC38" s="736"/>
      <c r="AD38" s="737" t="s">
        <v>516</v>
      </c>
      <c r="AE38" s="961">
        <v>3.0045228453277716E-06</v>
      </c>
      <c r="AF38" s="222"/>
    </row>
    <row r="39" spans="1:32" ht="12.75">
      <c r="A39" s="1465" t="str">
        <f>MainForm!B38</f>
        <v>Benzo(k)fluoranthene</v>
      </c>
      <c r="B39" s="754">
        <f>MainForm!G38</f>
        <v>1</v>
      </c>
      <c r="C39" s="641">
        <v>1</v>
      </c>
      <c r="D39" s="638">
        <v>0.2</v>
      </c>
      <c r="E39" s="639">
        <f t="shared" si="3"/>
        <v>0.13</v>
      </c>
      <c r="F39" s="639">
        <f t="shared" si="4"/>
        <v>0.89</v>
      </c>
      <c r="G39" s="640"/>
      <c r="H39" s="641">
        <f t="shared" si="20"/>
        <v>0</v>
      </c>
      <c r="I39" s="641">
        <f t="shared" si="10"/>
        <v>0.73</v>
      </c>
      <c r="J39" s="640">
        <f t="shared" si="11"/>
        <v>0.8202247191011236</v>
      </c>
      <c r="K39" s="642">
        <f t="shared" si="13"/>
      </c>
      <c r="L39" s="642" t="str">
        <f t="shared" si="14"/>
        <v> </v>
      </c>
      <c r="M39" s="643">
        <f t="shared" si="18"/>
        <v>9.645842696629213E-07</v>
      </c>
      <c r="N39" s="642"/>
      <c r="O39" s="642"/>
      <c r="P39" s="1800" t="s">
        <v>360</v>
      </c>
      <c r="Q39" s="1671"/>
      <c r="R39" s="645">
        <f t="shared" si="15"/>
        <v>0.0011832219132698338</v>
      </c>
      <c r="S39" s="646">
        <f t="shared" si="16"/>
        <v>0.3637600197493941</v>
      </c>
      <c r="T39" s="647">
        <f t="shared" si="17"/>
      </c>
      <c r="U39" s="648">
        <f t="shared" si="19"/>
        <v>3.5087719298253917E-07</v>
      </c>
      <c r="V39" s="1805" t="s">
        <v>360</v>
      </c>
      <c r="W39" s="650"/>
      <c r="X39" s="650"/>
      <c r="Y39" s="650"/>
      <c r="Z39" s="650"/>
      <c r="AA39" s="651"/>
      <c r="AB39" s="222"/>
      <c r="AC39" s="735"/>
      <c r="AD39" s="981" t="s">
        <v>214</v>
      </c>
      <c r="AE39" s="982" t="s">
        <v>630</v>
      </c>
      <c r="AF39" s="222"/>
    </row>
    <row r="40" spans="1:32" ht="13.5" thickBot="1">
      <c r="A40" s="1465" t="str">
        <f>MainForm!B39</f>
        <v>Benzo(a)pyrene</v>
      </c>
      <c r="B40" s="754">
        <f>MainForm!G39</f>
        <v>0.07</v>
      </c>
      <c r="C40" s="641">
        <v>1</v>
      </c>
      <c r="D40" s="638">
        <v>0.2</v>
      </c>
      <c r="E40" s="639">
        <f t="shared" si="3"/>
        <v>0.13</v>
      </c>
      <c r="F40" s="639">
        <f t="shared" si="4"/>
        <v>0.89</v>
      </c>
      <c r="G40" s="640"/>
      <c r="H40" s="641">
        <f t="shared" si="20"/>
        <v>0</v>
      </c>
      <c r="I40" s="641">
        <f t="shared" si="10"/>
        <v>7.3</v>
      </c>
      <c r="J40" s="640">
        <f t="shared" si="11"/>
        <v>8.202247191011235</v>
      </c>
      <c r="K40" s="642">
        <f t="shared" si="13"/>
      </c>
      <c r="L40" s="642" t="str">
        <f t="shared" si="14"/>
        <v> </v>
      </c>
      <c r="M40" s="643">
        <f t="shared" si="18"/>
        <v>6.752089887640449E-07</v>
      </c>
      <c r="N40" s="642"/>
      <c r="O40" s="642"/>
      <c r="P40" s="1692"/>
      <c r="Q40" s="1671"/>
      <c r="R40" s="645">
        <f t="shared" si="15"/>
        <v>8.282553392888837E-05</v>
      </c>
      <c r="S40" s="646">
        <f t="shared" si="16"/>
        <v>0.025463201382457588</v>
      </c>
      <c r="T40" s="647">
        <f t="shared" si="17"/>
      </c>
      <c r="U40" s="648">
        <f t="shared" si="19"/>
        <v>2.456140350877774E-07</v>
      </c>
      <c r="V40" s="1691"/>
      <c r="W40" s="650"/>
      <c r="X40" s="650"/>
      <c r="Y40" s="650"/>
      <c r="Z40" s="650"/>
      <c r="AA40" s="651"/>
      <c r="AB40" s="222"/>
      <c r="AC40" s="1941">
        <f>IF(dc_ul_PF_test="Pass",IF(dc_ul_tph_test&gt;1000,"Check Residual Saturation (WAC340-747(10))",""),"")</f>
      </c>
      <c r="AD40" s="1942"/>
      <c r="AE40" s="1943"/>
      <c r="AF40" s="679"/>
    </row>
    <row r="41" spans="1:32" ht="12.75">
      <c r="A41" s="1465" t="str">
        <f>MainForm!B40</f>
        <v>Chrysene</v>
      </c>
      <c r="B41" s="754">
        <f>MainForm!G40</f>
        <v>1</v>
      </c>
      <c r="C41" s="641">
        <v>1</v>
      </c>
      <c r="D41" s="638">
        <v>0.2</v>
      </c>
      <c r="E41" s="639">
        <f t="shared" si="3"/>
        <v>0.13</v>
      </c>
      <c r="F41" s="639">
        <f t="shared" si="4"/>
        <v>0.89</v>
      </c>
      <c r="G41" s="640"/>
      <c r="H41" s="641">
        <f t="shared" si="20"/>
        <v>0</v>
      </c>
      <c r="I41" s="641">
        <f t="shared" si="10"/>
        <v>0.073</v>
      </c>
      <c r="J41" s="640">
        <f t="shared" si="11"/>
        <v>0.08202247191011236</v>
      </c>
      <c r="K41" s="642">
        <f t="shared" si="13"/>
      </c>
      <c r="L41" s="642" t="str">
        <f t="shared" si="14"/>
        <v> </v>
      </c>
      <c r="M41" s="643">
        <f t="shared" si="18"/>
        <v>9.645842696629213E-08</v>
      </c>
      <c r="N41" s="642"/>
      <c r="O41" s="642"/>
      <c r="P41" s="1692" t="str">
        <f>IF(Q41=1,"Fail","")</f>
        <v>Fail</v>
      </c>
      <c r="Q41" s="1671">
        <f>IF(SUM(M37:M43)&gt;0.000001001,1,0)</f>
        <v>1</v>
      </c>
      <c r="R41" s="645">
        <f t="shared" si="15"/>
        <v>0.0011832219132698338</v>
      </c>
      <c r="S41" s="646">
        <f t="shared" si="16"/>
        <v>0.3637600197493941</v>
      </c>
      <c r="T41" s="647">
        <f t="shared" si="17"/>
      </c>
      <c r="U41" s="648">
        <f t="shared" si="19"/>
        <v>3.5087719298253915E-08</v>
      </c>
      <c r="V41" s="1691">
        <f>IF(W41=1,"Fail","")</f>
      </c>
      <c r="W41" s="650">
        <f>IF(pah_sum&gt;0.000001001,1,0)</f>
        <v>0</v>
      </c>
      <c r="X41" s="650"/>
      <c r="Y41" s="650"/>
      <c r="Z41" s="650"/>
      <c r="AA41" s="651"/>
      <c r="AB41" s="222"/>
      <c r="AC41" s="222"/>
      <c r="AD41" s="222"/>
      <c r="AE41" s="222"/>
      <c r="AF41" s="679"/>
    </row>
    <row r="42" spans="1:32" ht="12.75">
      <c r="A42" s="1465" t="str">
        <f>MainForm!B41</f>
        <v>Dibenz(a,h)anthracene</v>
      </c>
      <c r="B42" s="754">
        <f>MainForm!G41</f>
        <v>0.05</v>
      </c>
      <c r="C42" s="641">
        <v>1</v>
      </c>
      <c r="D42" s="638">
        <v>0.2</v>
      </c>
      <c r="E42" s="639">
        <f t="shared" si="3"/>
        <v>0.13</v>
      </c>
      <c r="F42" s="639">
        <f t="shared" si="4"/>
        <v>0.89</v>
      </c>
      <c r="G42" s="640"/>
      <c r="H42" s="641">
        <f t="shared" si="20"/>
        <v>0</v>
      </c>
      <c r="I42" s="641">
        <f t="shared" si="10"/>
        <v>0.73</v>
      </c>
      <c r="J42" s="640">
        <f t="shared" si="11"/>
        <v>0.8202247191011236</v>
      </c>
      <c r="K42" s="642">
        <f t="shared" si="13"/>
      </c>
      <c r="L42" s="642" t="str">
        <f t="shared" si="14"/>
        <v> </v>
      </c>
      <c r="M42" s="643">
        <f t="shared" si="18"/>
        <v>4.8229213483146064E-08</v>
      </c>
      <c r="N42" s="642"/>
      <c r="O42" s="642"/>
      <c r="P42" s="1834" t="s">
        <v>650</v>
      </c>
      <c r="Q42" s="1671"/>
      <c r="R42" s="645">
        <f t="shared" si="15"/>
        <v>5.9161095663491693E-05</v>
      </c>
      <c r="S42" s="646">
        <f t="shared" si="16"/>
        <v>0.018188000987469706</v>
      </c>
      <c r="T42" s="647">
        <f t="shared" si="17"/>
      </c>
      <c r="U42" s="648">
        <f t="shared" si="19"/>
        <v>1.7543859649126958E-08</v>
      </c>
      <c r="V42" s="1840" t="s">
        <v>650</v>
      </c>
      <c r="W42" s="650"/>
      <c r="X42" s="651"/>
      <c r="Y42" s="222"/>
      <c r="Z42" s="222"/>
      <c r="AA42" s="222"/>
      <c r="AB42" s="222"/>
      <c r="AC42" s="222"/>
      <c r="AD42" s="222"/>
      <c r="AE42" s="222"/>
      <c r="AF42" s="679"/>
    </row>
    <row r="43" spans="1:32" ht="14.25" thickBot="1">
      <c r="A43" s="1592" t="str">
        <f>MainForm!B42</f>
        <v>Indeno(1,2,3-cd)pyrene</v>
      </c>
      <c r="B43" s="755">
        <f>MainForm!G42</f>
        <v>1</v>
      </c>
      <c r="C43" s="662">
        <v>1</v>
      </c>
      <c r="D43" s="659">
        <v>0.2</v>
      </c>
      <c r="E43" s="660">
        <f t="shared" si="3"/>
        <v>0.13</v>
      </c>
      <c r="F43" s="660">
        <f t="shared" si="4"/>
        <v>0.89</v>
      </c>
      <c r="G43" s="661"/>
      <c r="H43" s="662">
        <f t="shared" si="20"/>
        <v>0</v>
      </c>
      <c r="I43" s="662">
        <f t="shared" si="10"/>
        <v>0.73</v>
      </c>
      <c r="J43" s="661">
        <f t="shared" si="11"/>
        <v>0.8202247191011236</v>
      </c>
      <c r="K43" s="665">
        <f t="shared" si="13"/>
      </c>
      <c r="L43" s="665" t="str">
        <f t="shared" si="14"/>
        <v> </v>
      </c>
      <c r="M43" s="664">
        <f t="shared" si="18"/>
        <v>9.645842696629213E-07</v>
      </c>
      <c r="N43" s="665"/>
      <c r="O43" s="665"/>
      <c r="P43" s="1839">
        <f>SUM(M37:M43)</f>
        <v>2.7490651685393257E-06</v>
      </c>
      <c r="Q43" s="1672"/>
      <c r="R43" s="667">
        <f t="shared" si="15"/>
        <v>0.0011832219132698338</v>
      </c>
      <c r="S43" s="668">
        <f t="shared" si="16"/>
        <v>0.3637600197493941</v>
      </c>
      <c r="T43" s="669">
        <f t="shared" si="17"/>
      </c>
      <c r="U43" s="670">
        <f t="shared" si="19"/>
        <v>3.5087719298253917E-07</v>
      </c>
      <c r="V43" s="1841">
        <f>SUM(U37:U43)</f>
        <v>1.0000000000002365E-06</v>
      </c>
      <c r="W43" s="650"/>
      <c r="X43" s="1679"/>
      <c r="Y43" s="1679"/>
      <c r="Z43" s="1679"/>
      <c r="AA43" s="1679"/>
      <c r="AB43" s="222"/>
      <c r="AC43" s="222"/>
      <c r="AD43" s="222"/>
      <c r="AE43" s="222"/>
      <c r="AF43" s="679"/>
    </row>
    <row r="44" spans="1:34" ht="15.75" customHeight="1" thickBot="1">
      <c r="A44" s="681" t="s">
        <v>20</v>
      </c>
      <c r="B44" s="1835">
        <f>SUM(B14:B43)</f>
        <v>845.15</v>
      </c>
      <c r="C44" s="1836"/>
      <c r="D44" s="1837"/>
      <c r="E44" s="1837"/>
      <c r="F44" s="1837"/>
      <c r="G44" s="1837"/>
      <c r="H44" s="1837"/>
      <c r="I44" s="1837"/>
      <c r="J44" s="1837"/>
      <c r="K44" s="1838">
        <f>SUM(K14:K43)</f>
        <v>0.2601857964764943</v>
      </c>
      <c r="L44" s="1838">
        <f>SUM(L14:L43)</f>
        <v>100.00000000000003</v>
      </c>
      <c r="M44" s="664">
        <f>SUM(M14:M43)</f>
        <v>2.7507170790656412E-06</v>
      </c>
      <c r="N44" s="665"/>
      <c r="O44" s="665"/>
      <c r="P44" s="666" t="str">
        <f>IF(Q46&gt;0,"Fail","")</f>
        <v>Fail</v>
      </c>
      <c r="Q44" s="1671">
        <f>IF(M44&gt;0.00001001,1,0)</f>
        <v>0</v>
      </c>
      <c r="R44" s="667">
        <f>SUM(R14:R43)</f>
        <v>0.9999999999999999</v>
      </c>
      <c r="S44" s="682">
        <v>307.4317806912004</v>
      </c>
      <c r="T44" s="669">
        <f>SUM(T14:T43)</f>
        <v>0.09464519046480141</v>
      </c>
      <c r="U44" s="670">
        <f>SUM(U14:U43)</f>
        <v>1.0006008990059133E-06</v>
      </c>
      <c r="V44" s="683">
        <f>IF(W46&gt;0,"Fail","")</f>
      </c>
      <c r="W44" s="650">
        <f>IF(U44&gt;0.00001001,1,0)</f>
        <v>0</v>
      </c>
      <c r="X44" s="222"/>
      <c r="Y44" s="222"/>
      <c r="Z44" s="222"/>
      <c r="AA44" s="222"/>
      <c r="AB44" s="222"/>
      <c r="AC44" s="222"/>
      <c r="AD44" s="222"/>
      <c r="AE44" s="222"/>
      <c r="AF44" s="679"/>
      <c r="AH44" s="684"/>
    </row>
    <row r="45" spans="1:32" ht="13.5" hidden="1">
      <c r="A45" s="685"/>
      <c r="B45" s="686"/>
      <c r="C45" s="687"/>
      <c r="D45" s="688"/>
      <c r="E45" s="687"/>
      <c r="F45" s="687"/>
      <c r="G45" s="687"/>
      <c r="H45" s="687"/>
      <c r="I45" s="687"/>
      <c r="J45" s="687"/>
      <c r="K45" s="689"/>
      <c r="L45" s="689"/>
      <c r="M45" s="689" t="s">
        <v>247</v>
      </c>
      <c r="N45" s="689"/>
      <c r="O45" s="689"/>
      <c r="P45" s="689"/>
      <c r="Q45" s="690">
        <f>IF(K44&gt;1.001,1,0)</f>
        <v>0</v>
      </c>
      <c r="R45" s="691"/>
      <c r="S45" s="691"/>
      <c r="T45" s="691"/>
      <c r="U45" s="692"/>
      <c r="V45" s="693" t="s">
        <v>247</v>
      </c>
      <c r="W45" s="690">
        <f>IF(T44&gt;1.001,1,0)</f>
        <v>0</v>
      </c>
      <c r="AF45" s="680"/>
    </row>
    <row r="46" spans="16:32" ht="12.75" hidden="1">
      <c r="P46" s="229" t="s">
        <v>22</v>
      </c>
      <c r="Q46" s="241">
        <f>SUM(Q26:Q45)</f>
        <v>1</v>
      </c>
      <c r="T46" s="694"/>
      <c r="V46" s="229" t="s">
        <v>22</v>
      </c>
      <c r="W46" s="241">
        <f>SUM(W26:W45)</f>
        <v>0</v>
      </c>
      <c r="AC46" s="680"/>
      <c r="AD46" s="326"/>
      <c r="AE46" s="115"/>
      <c r="AF46" s="250"/>
    </row>
    <row r="47" spans="17:32" ht="12.75" hidden="1">
      <c r="Q47" s="241"/>
      <c r="S47" s="229" t="s">
        <v>394</v>
      </c>
      <c r="T47" s="695">
        <f>ABS(U44-0.00001)*1000000000</f>
        <v>8999.399100994087</v>
      </c>
      <c r="W47" s="241"/>
      <c r="AF47" s="680"/>
    </row>
    <row r="48" spans="16:32" ht="15" hidden="1">
      <c r="P48" s="229" t="s">
        <v>248</v>
      </c>
      <c r="Q48" s="241" t="str">
        <f>IF(Q46&gt;0,"Fail","Pass")</f>
        <v>Fail</v>
      </c>
      <c r="S48" s="229" t="s">
        <v>628</v>
      </c>
      <c r="T48" s="229">
        <f>(U35-0.000001)*1000000000</f>
        <v>-1000</v>
      </c>
      <c r="V48" s="229" t="s">
        <v>262</v>
      </c>
      <c r="W48" s="241" t="str">
        <f>IF(W46&gt;0,"Fail","Pass")</f>
        <v>Pass</v>
      </c>
      <c r="AC48" s="696"/>
      <c r="AF48" s="680"/>
    </row>
    <row r="49" spans="19:32" ht="12.75" hidden="1">
      <c r="S49" s="229" t="s">
        <v>629</v>
      </c>
      <c r="T49" s="229">
        <f>(U36-0.000001)*1000000000</f>
        <v>-1000</v>
      </c>
      <c r="V49" s="229" t="s">
        <v>503</v>
      </c>
      <c r="W49" s="229" t="str">
        <f>IF(W48="Fail","NO","YES")</f>
        <v>YES</v>
      </c>
      <c r="AF49" s="240"/>
    </row>
    <row r="50" spans="19:32" ht="12.75" hidden="1">
      <c r="S50" s="229" t="s">
        <v>393</v>
      </c>
      <c r="T50" s="695">
        <f>(U44-0.000001)*1000000000</f>
        <v>0.6008990059133728</v>
      </c>
      <c r="AC50" s="680"/>
      <c r="AD50" s="697"/>
      <c r="AF50" s="236"/>
    </row>
    <row r="51" spans="11:32" ht="12.75" hidden="1">
      <c r="K51" s="229">
        <v>60</v>
      </c>
      <c r="S51" s="229" t="s">
        <v>398</v>
      </c>
      <c r="T51" s="695">
        <f>(pah_sum-0.000001)*1000000000</f>
        <v>2.3653395052076337E-10</v>
      </c>
      <c r="AC51" s="680"/>
      <c r="AD51" s="698"/>
      <c r="AF51" s="237"/>
    </row>
    <row r="52" spans="19:32" ht="12.75" hidden="1">
      <c r="S52" s="229" t="s">
        <v>401</v>
      </c>
      <c r="T52" s="695">
        <f>(U26-0.000001)*1000000000</f>
        <v>-999.3991009943231</v>
      </c>
      <c r="AC52" s="680"/>
      <c r="AD52" s="699"/>
      <c r="AF52" s="240"/>
    </row>
    <row r="53" spans="20:32" ht="12.75" hidden="1">
      <c r="T53" s="695"/>
      <c r="AC53" s="680"/>
      <c r="AD53" s="700"/>
      <c r="AF53" s="240"/>
    </row>
    <row r="54" spans="13:32" ht="12.75" hidden="1">
      <c r="M54" s="229" t="s">
        <v>431</v>
      </c>
      <c r="Q54" s="695">
        <f>SUM(M37:M43)</f>
        <v>2.7490651685393257E-06</v>
      </c>
      <c r="S54" s="229" t="s">
        <v>414</v>
      </c>
      <c r="T54" s="695">
        <f>SUM(U37:U43)</f>
        <v>1.0000000000002365E-06</v>
      </c>
      <c r="AC54" s="680"/>
      <c r="AD54" s="411"/>
      <c r="AF54" s="237"/>
    </row>
    <row r="55" spans="20:32" ht="12.75" hidden="1">
      <c r="T55" s="695"/>
      <c r="AC55" s="680"/>
      <c r="AD55" s="411"/>
      <c r="AF55" s="237"/>
    </row>
    <row r="56" spans="1:32" ht="12.75" hidden="1">
      <c r="A56" s="1929" t="s">
        <v>474</v>
      </c>
      <c r="B56" s="1929"/>
      <c r="C56" s="1929"/>
      <c r="R56" s="229" t="s">
        <v>609</v>
      </c>
      <c r="S56" s="1680" t="str">
        <f>A37</f>
        <v>Benzo(a)anthracene</v>
      </c>
      <c r="T56" s="695"/>
      <c r="U56" s="695">
        <f aca="true" t="shared" si="21" ref="U56:U62">(U37-0.000001)*1000000000</f>
        <v>-1000</v>
      </c>
      <c r="AC56" s="680"/>
      <c r="AD56" s="411"/>
      <c r="AF56" s="237"/>
    </row>
    <row r="57" spans="1:32" ht="12.75" hidden="1">
      <c r="A57" s="701" t="s">
        <v>389</v>
      </c>
      <c r="B57" s="702"/>
      <c r="C57" s="703" t="s">
        <v>365</v>
      </c>
      <c r="R57" s="229" t="s">
        <v>610</v>
      </c>
      <c r="S57" s="1680" t="str">
        <f aca="true" t="shared" si="22" ref="S57:S62">A38</f>
        <v>Benzo(b)fluoranthene</v>
      </c>
      <c r="U57" s="695">
        <f t="shared" si="21"/>
        <v>-1000</v>
      </c>
      <c r="AC57" s="680"/>
      <c r="AD57" s="411"/>
      <c r="AF57" s="237"/>
    </row>
    <row r="58" spans="1:32" ht="12.75" hidden="1">
      <c r="A58" s="704" t="s">
        <v>195</v>
      </c>
      <c r="B58" s="705">
        <v>16</v>
      </c>
      <c r="C58" s="706" t="s">
        <v>53</v>
      </c>
      <c r="R58" s="229" t="s">
        <v>611</v>
      </c>
      <c r="S58" s="1680" t="str">
        <f t="shared" si="22"/>
        <v>Benzo(k)fluoranthene</v>
      </c>
      <c r="U58" s="695">
        <f t="shared" si="21"/>
        <v>-649.1228070174608</v>
      </c>
      <c r="AC58" s="680"/>
      <c r="AD58" s="411"/>
      <c r="AF58" s="237"/>
    </row>
    <row r="59" spans="1:32" ht="12.75" hidden="1">
      <c r="A59" s="702" t="s">
        <v>197</v>
      </c>
      <c r="B59" s="707">
        <v>1</v>
      </c>
      <c r="C59" s="703" t="s">
        <v>63</v>
      </c>
      <c r="R59" s="229" t="s">
        <v>612</v>
      </c>
      <c r="S59" s="1680" t="str">
        <f t="shared" si="22"/>
        <v>Benzo(a)pyrene</v>
      </c>
      <c r="U59" s="695">
        <f t="shared" si="21"/>
        <v>-754.3859649122226</v>
      </c>
      <c r="AC59" s="680"/>
      <c r="AD59" s="411"/>
      <c r="AF59" s="237"/>
    </row>
    <row r="60" spans="1:32" ht="12.75" hidden="1">
      <c r="A60" s="708" t="s">
        <v>198</v>
      </c>
      <c r="B60" s="707">
        <v>6</v>
      </c>
      <c r="C60" s="709" t="s">
        <v>266</v>
      </c>
      <c r="R60" s="229" t="s">
        <v>613</v>
      </c>
      <c r="S60" s="1680" t="str">
        <f t="shared" si="22"/>
        <v>Chrysene</v>
      </c>
      <c r="U60" s="695">
        <f t="shared" si="21"/>
        <v>-964.912280701746</v>
      </c>
      <c r="AC60" s="680"/>
      <c r="AD60" s="411"/>
      <c r="AF60" s="237"/>
    </row>
    <row r="61" spans="1:32" ht="12.75" hidden="1">
      <c r="A61" s="702" t="s">
        <v>199</v>
      </c>
      <c r="B61" s="707">
        <v>200</v>
      </c>
      <c r="C61" s="710" t="s">
        <v>200</v>
      </c>
      <c r="R61" s="229" t="s">
        <v>614</v>
      </c>
      <c r="S61" s="1680" t="str">
        <f t="shared" si="22"/>
        <v>Dibenz(a,h)anthracene</v>
      </c>
      <c r="U61" s="695">
        <f t="shared" si="21"/>
        <v>-982.456140350873</v>
      </c>
      <c r="AC61" s="680"/>
      <c r="AD61" s="411"/>
      <c r="AF61" s="237"/>
    </row>
    <row r="62" spans="1:32" ht="14.25" hidden="1">
      <c r="A62" s="708" t="s">
        <v>201</v>
      </c>
      <c r="B62" s="707">
        <v>2200</v>
      </c>
      <c r="C62" s="595" t="s">
        <v>220</v>
      </c>
      <c r="R62" s="229" t="s">
        <v>615</v>
      </c>
      <c r="S62" s="1680" t="str">
        <f t="shared" si="22"/>
        <v>Indeno(1,2,3-cd)pyrene</v>
      </c>
      <c r="U62" s="695">
        <f t="shared" si="21"/>
        <v>-649.1228070174608</v>
      </c>
      <c r="AC62" s="680"/>
      <c r="AD62" s="411"/>
      <c r="AF62" s="237"/>
    </row>
    <row r="63" spans="1:32" ht="12.75" hidden="1">
      <c r="A63" s="711" t="s">
        <v>388</v>
      </c>
      <c r="B63" s="712"/>
      <c r="C63" s="595"/>
      <c r="AC63" s="713"/>
      <c r="AD63" s="411"/>
      <c r="AF63" s="237"/>
    </row>
    <row r="64" spans="1:32" ht="12.75" hidden="1">
      <c r="A64" s="702" t="s">
        <v>219</v>
      </c>
      <c r="B64" s="714">
        <v>6</v>
      </c>
      <c r="C64" s="703" t="s">
        <v>266</v>
      </c>
      <c r="AC64" s="715"/>
      <c r="AD64" s="716"/>
      <c r="AF64" s="237"/>
    </row>
    <row r="65" spans="1:30" ht="12.75" hidden="1">
      <c r="A65" s="717" t="s">
        <v>268</v>
      </c>
      <c r="B65" s="712"/>
      <c r="C65" s="595"/>
      <c r="AC65" s="715"/>
      <c r="AD65" s="718"/>
    </row>
    <row r="66" spans="1:30" ht="12.75" hidden="1">
      <c r="A66" s="702" t="s">
        <v>265</v>
      </c>
      <c r="B66" s="714">
        <v>75</v>
      </c>
      <c r="C66" s="596" t="s">
        <v>266</v>
      </c>
      <c r="AC66" s="715"/>
      <c r="AD66" s="719"/>
    </row>
    <row r="67" spans="29:30" ht="12.75" hidden="1">
      <c r="AC67" s="680"/>
      <c r="AD67" s="720"/>
    </row>
    <row r="68" spans="29:30" ht="12.75">
      <c r="AC68" s="680"/>
      <c r="AD68" s="720"/>
    </row>
    <row r="69" spans="29:30" ht="13.5">
      <c r="AC69" s="680"/>
      <c r="AD69" s="721"/>
    </row>
    <row r="70" spans="29:31" ht="12.75">
      <c r="AC70" s="680"/>
      <c r="AD70" s="722"/>
      <c r="AE70" s="723"/>
    </row>
    <row r="71" spans="29:31" ht="12.75">
      <c r="AC71" s="680"/>
      <c r="AD71" s="724"/>
      <c r="AE71" s="723"/>
    </row>
    <row r="72" spans="29:31" ht="12.75">
      <c r="AC72" s="725"/>
      <c r="AD72" s="724"/>
      <c r="AE72" s="726"/>
    </row>
    <row r="73" spans="29:31" ht="12.75">
      <c r="AC73" s="725"/>
      <c r="AD73" s="726"/>
      <c r="AE73" s="727"/>
    </row>
    <row r="74" spans="29:31" ht="12.75">
      <c r="AC74" s="725"/>
      <c r="AD74" s="726"/>
      <c r="AE74" s="727"/>
    </row>
    <row r="75" ht="12.75">
      <c r="AD75" s="728"/>
    </row>
    <row r="76" ht="12.75">
      <c r="AC76" s="729"/>
    </row>
    <row r="82" ht="12.75">
      <c r="AF82" s="724"/>
    </row>
    <row r="83" ht="12.75">
      <c r="AF83" s="724"/>
    </row>
    <row r="84" ht="12.75">
      <c r="AF84" s="724"/>
    </row>
    <row r="85" ht="12.75">
      <c r="AF85" s="726"/>
    </row>
  </sheetData>
  <sheetProtection/>
  <mergeCells count="26">
    <mergeCell ref="A8:A11"/>
    <mergeCell ref="S8:V8"/>
    <mergeCell ref="AC13:AE13"/>
    <mergeCell ref="AC8:AE8"/>
    <mergeCell ref="S9:S11"/>
    <mergeCell ref="T9:T11"/>
    <mergeCell ref="U9:U11"/>
    <mergeCell ref="V9:V11"/>
    <mergeCell ref="L10:L11"/>
    <mergeCell ref="H10:H11"/>
    <mergeCell ref="J10:J11"/>
    <mergeCell ref="K9:K11"/>
    <mergeCell ref="E10:E11"/>
    <mergeCell ref="F10:F11"/>
    <mergeCell ref="G10:G11"/>
    <mergeCell ref="I10:I11"/>
    <mergeCell ref="A56:C56"/>
    <mergeCell ref="AC27:AE27"/>
    <mergeCell ref="AC15:AE15"/>
    <mergeCell ref="B9:B10"/>
    <mergeCell ref="M9:M11"/>
    <mergeCell ref="P9:P11"/>
    <mergeCell ref="AC29:AE29"/>
    <mergeCell ref="AC40:AE40"/>
    <mergeCell ref="C10:C11"/>
    <mergeCell ref="D10:D11"/>
  </mergeCells>
  <conditionalFormatting sqref="AE12">
    <cfRule type="cellIs" priority="1" dxfId="1" operator="equal" stopIfTrue="1">
      <formula>"Fail"</formula>
    </cfRule>
  </conditionalFormatting>
  <conditionalFormatting sqref="AE39">
    <cfRule type="cellIs" priority="2" dxfId="0" operator="equal" stopIfTrue="1">
      <formula>"Fail"</formula>
    </cfRule>
  </conditionalFormatting>
  <conditionalFormatting sqref="AD23">
    <cfRule type="cellIs" priority="3" dxfId="1" operator="equal" stopIfTrue="1">
      <formula>"No"</formula>
    </cfRule>
  </conditionalFormatting>
  <printOptions horizontalCentered="1"/>
  <pageMargins left="0.17" right="0.17" top="0.65" bottom="0.51" header="0.41" footer="0.27"/>
  <pageSetup blackAndWhite="1" horizontalDpi="300" verticalDpi="300" orientation="landscape" scale="86" r:id="rId4"/>
  <headerFooter alignWithMargins="0">
    <oddHeader>&amp;CWashington State Department of Ecology, Toxics Cleanup Program: Soil Cleanup Level for TPH Sites - Soil Direct Contact: Method B - Unrestricted Land Use</oddHeader>
    <oddFooter>&amp;R&amp;D:  &amp;F</oddFooter>
  </headerFooter>
  <ignoredErrors>
    <ignoredError sqref="P26 V26" formula="1"/>
  </ignoredErrors>
  <drawing r:id="rId3"/>
  <legacyDrawing r:id="rId2"/>
</worksheet>
</file>

<file path=xl/worksheets/sheet17.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D1">
      <selection activeCell="A1" sqref="A1"/>
    </sheetView>
  </sheetViews>
  <sheetFormatPr defaultColWidth="0.85546875" defaultRowHeight="4.5" customHeight="1"/>
  <cols>
    <col min="1" max="16384" width="0.85546875" style="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8.xml><?xml version="1.0" encoding="utf-8"?>
<worksheet xmlns="http://schemas.openxmlformats.org/spreadsheetml/2006/main" xmlns:r="http://schemas.openxmlformats.org/officeDocument/2006/relationships">
  <sheetPr codeName="Sheet31"/>
  <dimension ref="A1:AK103"/>
  <sheetViews>
    <sheetView showGridLines="0" showRowColHeaders="0" tabSelected="1" zoomScale="119" zoomScaleNormal="119" zoomScaleSheetLayoutView="50" zoomScalePageLayoutView="0" workbookViewId="0" topLeftCell="Y1">
      <selection activeCell="AH12" sqref="AH12:AI12"/>
    </sheetView>
  </sheetViews>
  <sheetFormatPr defaultColWidth="9.140625" defaultRowHeight="12.75"/>
  <cols>
    <col min="1" max="1" width="0.85546875" style="8" customWidth="1"/>
    <col min="2" max="2" width="19.7109375" style="8" customWidth="1"/>
    <col min="3" max="3" width="0.71875" style="8" customWidth="1"/>
    <col min="4" max="4" width="0.5625" style="8" customWidth="1"/>
    <col min="5" max="5" width="1.1484375" style="8" customWidth="1"/>
    <col min="6" max="6" width="5.28125" style="8" hidden="1" customWidth="1"/>
    <col min="7" max="7" width="15.421875" style="8" customWidth="1"/>
    <col min="8" max="8" width="11.57421875" style="8" customWidth="1"/>
    <col min="9" max="9" width="6.7109375" style="77" hidden="1" customWidth="1"/>
    <col min="10" max="10" width="3.8515625" style="77" hidden="1" customWidth="1"/>
    <col min="11" max="11" width="7.28125" style="77" hidden="1" customWidth="1"/>
    <col min="12" max="13" width="3.00390625" style="77" hidden="1" customWidth="1"/>
    <col min="14" max="14" width="8.7109375" style="77" hidden="1" customWidth="1"/>
    <col min="15" max="15" width="0.5625" style="77" hidden="1" customWidth="1"/>
    <col min="16" max="16" width="0.42578125" style="8" hidden="1" customWidth="1"/>
    <col min="17" max="17" width="20.8515625" style="8" customWidth="1"/>
    <col min="18" max="18" width="10.57421875" style="8" customWidth="1"/>
    <col min="19" max="19" width="9.57421875" style="8" customWidth="1"/>
    <col min="20" max="20" width="5.00390625" style="8" customWidth="1"/>
    <col min="21" max="21" width="10.140625" style="8" customWidth="1"/>
    <col min="22" max="22" width="10.00390625" style="8" customWidth="1"/>
    <col min="23" max="23" width="2.140625" style="8" customWidth="1"/>
    <col min="24" max="24" width="5.140625" style="8" hidden="1" customWidth="1"/>
    <col min="25" max="25" width="0.13671875" style="8" customWidth="1"/>
    <col min="26" max="26" width="0.71875" style="77" customWidth="1"/>
    <col min="27" max="27" width="16.7109375" style="77" customWidth="1"/>
    <col min="28" max="28" width="7.57421875" style="77" customWidth="1"/>
    <col min="29" max="29" width="13.8515625" style="77" customWidth="1"/>
    <col min="30" max="30" width="14.57421875" style="77" customWidth="1"/>
    <col min="31" max="31" width="13.28125" style="77" customWidth="1"/>
    <col min="32" max="32" width="11.7109375" style="77" customWidth="1"/>
    <col min="33" max="33" width="12.28125" style="77" customWidth="1"/>
    <col min="34" max="34" width="10.421875" style="77" customWidth="1"/>
    <col min="35" max="35" width="8.421875" style="77" customWidth="1"/>
    <col min="36" max="36" width="7.7109375" style="77" customWidth="1"/>
    <col min="37" max="37" width="0.85546875" style="77" customWidth="1"/>
    <col min="38" max="38" width="2.57421875" style="77" customWidth="1"/>
    <col min="39" max="39" width="2.8515625" style="77" customWidth="1"/>
    <col min="40" max="16384" width="9.140625" style="77" customWidth="1"/>
  </cols>
  <sheetData>
    <row r="1" spans="1:37" ht="20.25">
      <c r="A1" s="222"/>
      <c r="B1" s="788" t="s">
        <v>608</v>
      </c>
      <c r="C1" s="222"/>
      <c r="D1" s="222"/>
      <c r="E1" s="222"/>
      <c r="F1" s="222"/>
      <c r="G1" s="222"/>
      <c r="H1" s="222"/>
      <c r="I1" s="1091"/>
      <c r="J1" s="1091"/>
      <c r="K1" s="1091"/>
      <c r="L1" s="1091"/>
      <c r="M1" s="1091"/>
      <c r="N1" s="1091"/>
      <c r="O1" s="1091"/>
      <c r="P1" s="222"/>
      <c r="Q1" s="222"/>
      <c r="R1" s="222"/>
      <c r="S1" s="222"/>
      <c r="T1" s="222"/>
      <c r="U1" s="222"/>
      <c r="V1" s="222"/>
      <c r="W1" s="222"/>
      <c r="X1" s="222"/>
      <c r="Y1" s="518"/>
      <c r="Z1" s="1092"/>
      <c r="AA1" s="1526" t="s">
        <v>579</v>
      </c>
      <c r="AB1" s="518"/>
      <c r="AC1" s="518"/>
      <c r="AD1" s="518"/>
      <c r="AE1" s="518"/>
      <c r="AF1" s="518"/>
      <c r="AG1" s="1093"/>
      <c r="AH1" s="1093"/>
      <c r="AI1" s="1093"/>
      <c r="AJ1" s="1093"/>
      <c r="AK1" s="1092"/>
    </row>
    <row r="2" spans="1:37" ht="16.5" thickBot="1">
      <c r="A2" s="222"/>
      <c r="B2" s="1094" t="s">
        <v>533</v>
      </c>
      <c r="C2" s="943"/>
      <c r="D2" s="943"/>
      <c r="E2" s="943"/>
      <c r="F2" s="943"/>
      <c r="G2" s="222"/>
      <c r="H2" s="222"/>
      <c r="I2" s="1091"/>
      <c r="J2" s="1091"/>
      <c r="K2" s="1091"/>
      <c r="L2" s="1091"/>
      <c r="M2" s="1091"/>
      <c r="N2" s="1091"/>
      <c r="O2" s="1091"/>
      <c r="P2" s="222"/>
      <c r="Q2" s="222"/>
      <c r="R2" s="222"/>
      <c r="S2" s="222"/>
      <c r="T2" s="222"/>
      <c r="U2" s="325"/>
      <c r="V2" s="325"/>
      <c r="W2" s="325"/>
      <c r="X2" s="325"/>
      <c r="Y2" s="518"/>
      <c r="Z2" s="1092"/>
      <c r="AA2" s="1098" t="s">
        <v>480</v>
      </c>
      <c r="AB2" s="1098"/>
      <c r="AC2" s="1098"/>
      <c r="AD2" s="1098"/>
      <c r="AE2" s="1098"/>
      <c r="AF2" s="511"/>
      <c r="AG2" s="511"/>
      <c r="AH2" s="518"/>
      <c r="AI2" s="518"/>
      <c r="AJ2" s="518"/>
      <c r="AK2" s="1092"/>
    </row>
    <row r="3" spans="1:37" ht="12.75" customHeight="1">
      <c r="A3" s="222"/>
      <c r="B3" s="594" t="s">
        <v>223</v>
      </c>
      <c r="C3" s="2038">
        <v>38822</v>
      </c>
      <c r="D3" s="2038"/>
      <c r="E3" s="2038"/>
      <c r="F3" s="2038"/>
      <c r="G3" s="2038"/>
      <c r="H3" s="2038"/>
      <c r="I3" s="2038"/>
      <c r="J3" s="2038"/>
      <c r="K3" s="2038"/>
      <c r="L3" s="2038"/>
      <c r="M3" s="2038"/>
      <c r="N3" s="2038"/>
      <c r="O3" s="2038"/>
      <c r="P3" s="2038"/>
      <c r="Q3" s="2038"/>
      <c r="R3" s="2038"/>
      <c r="S3" s="222"/>
      <c r="T3" s="222"/>
      <c r="U3" s="222"/>
      <c r="V3" s="222"/>
      <c r="W3" s="222"/>
      <c r="X3" s="222"/>
      <c r="Y3" s="518"/>
      <c r="Z3" s="1093"/>
      <c r="AA3" s="1093"/>
      <c r="AB3" s="1103" t="s">
        <v>223</v>
      </c>
      <c r="AC3" s="1104"/>
      <c r="AD3" s="1093"/>
      <c r="AE3" s="1093"/>
      <c r="AF3" s="1093"/>
      <c r="AG3" s="1093"/>
      <c r="AH3" s="518"/>
      <c r="AI3" s="518"/>
      <c r="AJ3" s="518"/>
      <c r="AK3" s="1092"/>
    </row>
    <row r="4" spans="1:37" ht="12.75" customHeight="1">
      <c r="A4" s="222"/>
      <c r="B4" s="594" t="s">
        <v>30</v>
      </c>
      <c r="C4" s="2039" t="s">
        <v>655</v>
      </c>
      <c r="D4" s="2039"/>
      <c r="E4" s="2039"/>
      <c r="F4" s="2039"/>
      <c r="G4" s="2039"/>
      <c r="H4" s="2039"/>
      <c r="I4" s="2039"/>
      <c r="J4" s="2039"/>
      <c r="K4" s="2039"/>
      <c r="L4" s="2039"/>
      <c r="M4" s="2039"/>
      <c r="N4" s="2039"/>
      <c r="O4" s="2039"/>
      <c r="P4" s="2039"/>
      <c r="Q4" s="2039"/>
      <c r="R4" s="2039"/>
      <c r="S4" s="222"/>
      <c r="T4" s="222"/>
      <c r="U4" s="222"/>
      <c r="V4" s="222"/>
      <c r="W4" s="222"/>
      <c r="X4" s="222"/>
      <c r="Y4" s="518"/>
      <c r="Z4" s="1093"/>
      <c r="AA4" s="1093"/>
      <c r="AB4" s="1103" t="s">
        <v>30</v>
      </c>
      <c r="AC4" s="1108"/>
      <c r="AD4" s="1093"/>
      <c r="AE4" s="1093"/>
      <c r="AF4" s="1093"/>
      <c r="AG4" s="1093"/>
      <c r="AH4" s="518"/>
      <c r="AI4" s="518"/>
      <c r="AJ4" s="518"/>
      <c r="AK4" s="1092"/>
    </row>
    <row r="5" spans="1:37" ht="12.75" customHeight="1" thickBot="1">
      <c r="A5" s="222"/>
      <c r="B5" s="945" t="s">
        <v>218</v>
      </c>
      <c r="C5" s="2040">
        <v>0</v>
      </c>
      <c r="D5" s="2040"/>
      <c r="E5" s="2040"/>
      <c r="F5" s="2040"/>
      <c r="G5" s="2040"/>
      <c r="H5" s="2040"/>
      <c r="I5" s="2040"/>
      <c r="J5" s="2040"/>
      <c r="K5" s="2040"/>
      <c r="L5" s="2040"/>
      <c r="M5" s="2040"/>
      <c r="N5" s="2040"/>
      <c r="O5" s="2040"/>
      <c r="P5" s="2040"/>
      <c r="Q5" s="2040"/>
      <c r="R5" s="2040"/>
      <c r="S5" s="222"/>
      <c r="T5" s="222"/>
      <c r="U5" s="222"/>
      <c r="V5" s="222"/>
      <c r="W5" s="222"/>
      <c r="X5" s="222"/>
      <c r="Y5" s="518"/>
      <c r="Z5" s="518"/>
      <c r="AA5" s="518"/>
      <c r="AB5" s="1103" t="s">
        <v>218</v>
      </c>
      <c r="AC5" s="1113"/>
      <c r="AD5" s="518"/>
      <c r="AE5" s="518"/>
      <c r="AF5" s="518"/>
      <c r="AG5" s="518"/>
      <c r="AH5" s="518"/>
      <c r="AI5" s="518"/>
      <c r="AJ5" s="518"/>
      <c r="AK5" s="1092"/>
    </row>
    <row r="6" spans="1:37" ht="12" customHeight="1" thickBot="1" thickTop="1">
      <c r="A6" s="222"/>
      <c r="B6" s="594"/>
      <c r="C6" s="594"/>
      <c r="D6" s="594"/>
      <c r="E6" s="594"/>
      <c r="F6" s="594">
        <v>0</v>
      </c>
      <c r="G6" s="324"/>
      <c r="H6" s="232"/>
      <c r="I6" s="1095"/>
      <c r="J6" s="1095"/>
      <c r="K6" s="1095"/>
      <c r="L6" s="1095"/>
      <c r="M6" s="1095"/>
      <c r="N6" s="1095"/>
      <c r="O6" s="1096"/>
      <c r="P6" s="222"/>
      <c r="Q6" s="609"/>
      <c r="R6" s="609"/>
      <c r="S6" s="609"/>
      <c r="T6" s="609"/>
      <c r="U6" s="232"/>
      <c r="V6" s="232"/>
      <c r="W6" s="232"/>
      <c r="X6" s="232"/>
      <c r="Y6" s="518"/>
      <c r="Z6" s="1093"/>
      <c r="AA6" s="511"/>
      <c r="AB6" s="1118"/>
      <c r="AC6" s="1118" t="s">
        <v>481</v>
      </c>
      <c r="AD6" s="1176"/>
      <c r="AE6" s="511"/>
      <c r="AF6" s="511"/>
      <c r="AG6" s="511"/>
      <c r="AH6" s="518"/>
      <c r="AI6" s="518"/>
      <c r="AJ6" s="518"/>
      <c r="AK6" s="1092"/>
    </row>
    <row r="7" spans="1:37" ht="10.5" customHeight="1" thickBot="1">
      <c r="A7" s="222"/>
      <c r="B7" s="1097"/>
      <c r="C7" s="594"/>
      <c r="D7" s="594"/>
      <c r="E7" s="594"/>
      <c r="F7" s="594"/>
      <c r="G7" s="324"/>
      <c r="H7" s="232"/>
      <c r="I7" s="1095"/>
      <c r="J7" s="1095"/>
      <c r="K7" s="1095"/>
      <c r="L7" s="1095"/>
      <c r="M7" s="1095"/>
      <c r="N7" s="1095"/>
      <c r="O7" s="1096"/>
      <c r="P7" s="222"/>
      <c r="Q7" s="222"/>
      <c r="R7" s="222"/>
      <c r="S7" s="222"/>
      <c r="T7" s="222"/>
      <c r="U7" s="222"/>
      <c r="V7" s="222"/>
      <c r="W7" s="222"/>
      <c r="X7" s="222"/>
      <c r="Y7" s="460"/>
      <c r="Z7" s="1093"/>
      <c r="AA7" s="1093"/>
      <c r="AB7" s="1122"/>
      <c r="AC7" s="1122"/>
      <c r="AD7" s="397"/>
      <c r="AE7" s="1093"/>
      <c r="AF7" s="1093"/>
      <c r="AG7" s="1093"/>
      <c r="AH7" s="518"/>
      <c r="AI7" s="518"/>
      <c r="AJ7" s="518"/>
      <c r="AK7" s="1092"/>
    </row>
    <row r="8" spans="1:37" ht="15.75" customHeight="1" thickBot="1" thickTop="1">
      <c r="A8" s="222"/>
      <c r="B8" s="1099" t="s">
        <v>478</v>
      </c>
      <c r="C8" s="1100"/>
      <c r="D8" s="1100"/>
      <c r="E8" s="1100"/>
      <c r="F8" s="1100">
        <v>0</v>
      </c>
      <c r="G8" s="1101"/>
      <c r="H8" s="1102"/>
      <c r="I8" s="1091"/>
      <c r="J8" s="1091"/>
      <c r="K8" s="1091"/>
      <c r="L8" s="1091"/>
      <c r="M8" s="1091"/>
      <c r="N8" s="1091"/>
      <c r="O8" s="1091"/>
      <c r="P8" s="222"/>
      <c r="Q8" s="233"/>
      <c r="R8" s="233"/>
      <c r="S8" s="233"/>
      <c r="T8" s="233"/>
      <c r="U8" s="222"/>
      <c r="V8" s="222"/>
      <c r="W8" s="222"/>
      <c r="X8" s="222"/>
      <c r="Y8" s="518"/>
      <c r="Z8" s="1093"/>
      <c r="AA8" s="1126" t="s">
        <v>491</v>
      </c>
      <c r="AB8" s="459"/>
      <c r="AC8" s="1093"/>
      <c r="AD8" s="1093"/>
      <c r="AE8" s="1093"/>
      <c r="AF8" s="1093"/>
      <c r="AG8" s="1093"/>
      <c r="AH8" s="1093"/>
      <c r="AI8" s="1093"/>
      <c r="AJ8" s="1093"/>
      <c r="AK8" s="1092"/>
    </row>
    <row r="9" spans="1:37" ht="13.5" customHeight="1">
      <c r="A9" s="222"/>
      <c r="B9" s="1105" t="s">
        <v>178</v>
      </c>
      <c r="C9" s="802"/>
      <c r="D9" s="802"/>
      <c r="E9" s="802"/>
      <c r="F9" s="802"/>
      <c r="G9" s="228" t="s">
        <v>363</v>
      </c>
      <c r="H9" s="1106" t="s">
        <v>291</v>
      </c>
      <c r="I9" s="1107"/>
      <c r="J9" s="1107"/>
      <c r="K9" s="1107"/>
      <c r="L9" s="1107"/>
      <c r="M9" s="1107"/>
      <c r="N9" s="1107"/>
      <c r="O9" s="1091"/>
      <c r="P9" s="222"/>
      <c r="Q9" s="222"/>
      <c r="R9" s="222"/>
      <c r="S9" s="222"/>
      <c r="T9" s="222"/>
      <c r="U9" s="222"/>
      <c r="V9" s="222"/>
      <c r="W9" s="222"/>
      <c r="X9" s="222"/>
      <c r="Y9" s="518"/>
      <c r="Z9" s="1093"/>
      <c r="AA9" s="2079" t="s">
        <v>246</v>
      </c>
      <c r="AB9" s="2020"/>
      <c r="AC9" s="2019" t="s">
        <v>634</v>
      </c>
      <c r="AD9" s="2020"/>
      <c r="AE9" s="2036" t="s">
        <v>511</v>
      </c>
      <c r="AF9" s="2027" t="s">
        <v>624</v>
      </c>
      <c r="AG9" s="2028"/>
      <c r="AH9" s="2091" t="s">
        <v>493</v>
      </c>
      <c r="AI9" s="2092"/>
      <c r="AJ9" s="1093"/>
      <c r="AK9" s="1093"/>
    </row>
    <row r="10" spans="1:37" ht="15.75" customHeight="1" thickBot="1">
      <c r="A10" s="222"/>
      <c r="B10" s="1105" t="s">
        <v>179</v>
      </c>
      <c r="C10" s="802"/>
      <c r="D10" s="802"/>
      <c r="E10" s="802"/>
      <c r="F10" s="802"/>
      <c r="G10" s="1109" t="s">
        <v>202</v>
      </c>
      <c r="H10" s="1110" t="s">
        <v>290</v>
      </c>
      <c r="I10" s="1107"/>
      <c r="J10" s="1107"/>
      <c r="K10" s="1107"/>
      <c r="L10" s="1107"/>
      <c r="M10" s="1107"/>
      <c r="N10" s="1107"/>
      <c r="O10" s="1091"/>
      <c r="P10" s="222"/>
      <c r="Q10" s="1111"/>
      <c r="R10" s="1111"/>
      <c r="S10" s="1111"/>
      <c r="T10" s="1111"/>
      <c r="U10" s="1112"/>
      <c r="V10" s="1112"/>
      <c r="W10" s="1112"/>
      <c r="X10" s="1112"/>
      <c r="Y10" s="518"/>
      <c r="Z10" s="1093"/>
      <c r="AA10" s="2080"/>
      <c r="AB10" s="2022"/>
      <c r="AC10" s="2021"/>
      <c r="AD10" s="2022"/>
      <c r="AE10" s="2037"/>
      <c r="AF10" s="513" t="s">
        <v>528</v>
      </c>
      <c r="AG10" s="513" t="s">
        <v>529</v>
      </c>
      <c r="AH10" s="2093"/>
      <c r="AI10" s="2094"/>
      <c r="AJ10" s="1092"/>
      <c r="AK10" s="1093"/>
    </row>
    <row r="11" spans="1:37" ht="12.75" customHeight="1" thickTop="1">
      <c r="A11" s="222"/>
      <c r="B11" s="1114"/>
      <c r="C11" s="808"/>
      <c r="D11" s="808"/>
      <c r="E11" s="808"/>
      <c r="F11" s="808"/>
      <c r="G11" s="1088" t="s">
        <v>13</v>
      </c>
      <c r="H11" s="1115" t="s">
        <v>38</v>
      </c>
      <c r="I11" s="1116"/>
      <c r="J11" s="1116"/>
      <c r="K11" s="1116"/>
      <c r="L11" s="1116"/>
      <c r="M11" s="1116"/>
      <c r="N11" s="1116"/>
      <c r="O11" s="1091"/>
      <c r="P11" s="222"/>
      <c r="Q11" s="222"/>
      <c r="R11" s="222"/>
      <c r="S11" s="222"/>
      <c r="T11" s="1111"/>
      <c r="U11" s="1112"/>
      <c r="V11" s="1112"/>
      <c r="W11" s="1112"/>
      <c r="X11" s="1112"/>
      <c r="Y11" s="1117"/>
      <c r="Z11" s="1093"/>
      <c r="AA11" s="2032" t="s">
        <v>640</v>
      </c>
      <c r="AB11" s="2033"/>
      <c r="AC11" s="514" t="s">
        <v>484</v>
      </c>
      <c r="AD11" s="515"/>
      <c r="AE11" s="1674"/>
      <c r="AF11" s="1177"/>
      <c r="AG11" s="1177"/>
      <c r="AH11" s="2074"/>
      <c r="AI11" s="2075"/>
      <c r="AJ11" s="1092"/>
      <c r="AK11" s="1093"/>
    </row>
    <row r="12" spans="1:37" ht="12.75" customHeight="1">
      <c r="A12" s="812"/>
      <c r="B12" s="1119" t="s">
        <v>294</v>
      </c>
      <c r="C12" s="1089"/>
      <c r="D12" s="1089"/>
      <c r="E12" s="1089"/>
      <c r="F12" s="233"/>
      <c r="G12" s="233"/>
      <c r="H12" s="1120"/>
      <c r="I12" s="1091"/>
      <c r="J12" s="1091"/>
      <c r="K12" s="1091"/>
      <c r="L12" s="1091"/>
      <c r="M12" s="1091"/>
      <c r="N12" s="1091"/>
      <c r="O12" s="1091"/>
      <c r="P12" s="222"/>
      <c r="Q12" s="222"/>
      <c r="R12" s="222"/>
      <c r="S12" s="222"/>
      <c r="T12" s="1121"/>
      <c r="U12" s="1112"/>
      <c r="V12" s="1112"/>
      <c r="W12" s="1112"/>
      <c r="X12" s="1112"/>
      <c r="Y12" s="1117"/>
      <c r="Z12" s="1093"/>
      <c r="AA12" s="2034"/>
      <c r="AB12" s="2035"/>
      <c r="AC12" s="374" t="s">
        <v>485</v>
      </c>
      <c r="AD12" s="510"/>
      <c r="AE12" s="1675"/>
      <c r="AF12" s="1178"/>
      <c r="AG12" s="1178"/>
      <c r="AH12" s="2047"/>
      <c r="AI12" s="2048"/>
      <c r="AJ12" s="1092"/>
      <c r="AK12" s="1093"/>
    </row>
    <row r="13" spans="1:37" ht="12.75" customHeight="1">
      <c r="A13" s="222"/>
      <c r="B13" s="2015" t="str">
        <f>'Chemical List'!B10</f>
        <v>AL_EC &gt;5-6</v>
      </c>
      <c r="C13" s="2016"/>
      <c r="D13" s="2016"/>
      <c r="E13" s="325"/>
      <c r="F13" s="222"/>
      <c r="G13" s="343">
        <v>35</v>
      </c>
      <c r="H13" s="1123">
        <f>'Soil-to-GroundWater'!C16</f>
        <v>0.04141276696444418</v>
      </c>
      <c r="I13" s="1124"/>
      <c r="J13" s="1124"/>
      <c r="K13" s="1124"/>
      <c r="L13" s="1124"/>
      <c r="M13" s="1124"/>
      <c r="N13" s="1124"/>
      <c r="O13" s="1091"/>
      <c r="P13" s="222"/>
      <c r="Q13" s="461"/>
      <c r="R13" s="462"/>
      <c r="S13" s="462"/>
      <c r="T13" s="1125"/>
      <c r="U13" s="1125"/>
      <c r="V13" s="222"/>
      <c r="W13" s="222"/>
      <c r="X13" s="222"/>
      <c r="Y13" s="518"/>
      <c r="Z13" s="1093"/>
      <c r="AA13" s="2023" t="s">
        <v>637</v>
      </c>
      <c r="AB13" s="2024"/>
      <c r="AC13" s="516" t="s">
        <v>638</v>
      </c>
      <c r="AD13" s="517"/>
      <c r="AE13" s="1676"/>
      <c r="AF13" s="1179"/>
      <c r="AG13" s="1179"/>
      <c r="AH13" s="2047"/>
      <c r="AI13" s="2048"/>
      <c r="AJ13" s="1092"/>
      <c r="AK13" s="1093"/>
    </row>
    <row r="14" spans="1:37" ht="12.75" customHeight="1" thickBot="1">
      <c r="A14" s="222"/>
      <c r="B14" s="2015" t="str">
        <f>'Chemical List'!B11</f>
        <v>AL_EC &gt;6-8</v>
      </c>
      <c r="C14" s="2016"/>
      <c r="D14" s="2016"/>
      <c r="E14" s="222"/>
      <c r="F14" s="222"/>
      <c r="G14" s="343">
        <v>20</v>
      </c>
      <c r="H14" s="1123">
        <f>'Soil-to-GroundWater'!C17</f>
        <v>0.023664438265396676</v>
      </c>
      <c r="I14" s="1124"/>
      <c r="J14" s="1124"/>
      <c r="K14" s="1124"/>
      <c r="L14" s="1124"/>
      <c r="M14" s="1124"/>
      <c r="N14" s="1124"/>
      <c r="O14" s="1091"/>
      <c r="P14" s="222"/>
      <c r="Q14" s="222"/>
      <c r="R14" s="222"/>
      <c r="S14" s="222"/>
      <c r="T14" s="222"/>
      <c r="U14" s="222"/>
      <c r="V14" s="222"/>
      <c r="W14" s="222"/>
      <c r="X14" s="222"/>
      <c r="Y14" s="518"/>
      <c r="Z14" s="1093"/>
      <c r="AA14" s="2025"/>
      <c r="AB14" s="2026"/>
      <c r="AC14" s="511" t="str">
        <f>IF(GW_target_CUL=0,"NA","Target TPH GW Conc. @ "&amp;GW_target_CUL&amp;" ug/L")</f>
        <v>Target TPH GW Conc. @ 500 ug/L</v>
      </c>
      <c r="AD14" s="512"/>
      <c r="AE14" s="1677"/>
      <c r="AF14" s="1180" t="s">
        <v>490</v>
      </c>
      <c r="AG14" s="1180" t="s">
        <v>490</v>
      </c>
      <c r="AH14" s="2049"/>
      <c r="AI14" s="2050"/>
      <c r="AJ14" s="1092"/>
      <c r="AK14" s="1093"/>
    </row>
    <row r="15" spans="1:37" ht="12.75" customHeight="1">
      <c r="A15" s="222"/>
      <c r="B15" s="2015" t="str">
        <f>'Chemical List'!B12</f>
        <v>AL_EC &gt;8-10</v>
      </c>
      <c r="C15" s="2016"/>
      <c r="D15" s="2016"/>
      <c r="E15" s="222"/>
      <c r="F15" s="222"/>
      <c r="G15" s="343">
        <v>40</v>
      </c>
      <c r="H15" s="1123">
        <f>'Soil-to-GroundWater'!C18</f>
        <v>0.04732887653079335</v>
      </c>
      <c r="I15" s="1124"/>
      <c r="J15" s="1124"/>
      <c r="K15" s="1124"/>
      <c r="L15" s="1124"/>
      <c r="M15" s="1124"/>
      <c r="N15" s="1124"/>
      <c r="O15" s="1091"/>
      <c r="P15" s="222"/>
      <c r="Q15" s="222"/>
      <c r="R15" s="222"/>
      <c r="S15" s="222"/>
      <c r="T15" s="222"/>
      <c r="U15" s="222"/>
      <c r="V15" s="222"/>
      <c r="W15" s="222"/>
      <c r="X15" s="222"/>
      <c r="Y15" s="518"/>
      <c r="Z15" s="1093"/>
      <c r="AA15" s="1182">
        <f>IF(soil_exist&gt;200,"Warning! Check to determine if a simplified or site-specific Terrestrial Ecological Evaluation may be required (Refer to WAC 173-340-7490 through  ~7494).","")</f>
      </c>
      <c r="AB15" s="1093"/>
      <c r="AC15" s="1093"/>
      <c r="AD15" s="1093"/>
      <c r="AE15" s="1093"/>
      <c r="AF15" s="1093"/>
      <c r="AG15" s="1093"/>
      <c r="AH15" s="1093"/>
      <c r="AI15" s="1093"/>
      <c r="AJ15" s="1093"/>
      <c r="AK15" s="1092"/>
    </row>
    <row r="16" spans="1:37" ht="12.75" customHeight="1">
      <c r="A16" s="222"/>
      <c r="B16" s="2015" t="str">
        <f>'Chemical List'!B13</f>
        <v>AL_EC &gt;10-12</v>
      </c>
      <c r="C16" s="2016"/>
      <c r="D16" s="2016"/>
      <c r="E16" s="222"/>
      <c r="F16" s="222"/>
      <c r="G16" s="343">
        <v>57</v>
      </c>
      <c r="H16" s="1123">
        <f>'Soil-to-GroundWater'!C19</f>
        <v>0.06744364905638052</v>
      </c>
      <c r="I16" s="1124"/>
      <c r="J16" s="1124"/>
      <c r="K16" s="1124"/>
      <c r="L16" s="1124"/>
      <c r="M16" s="1124"/>
      <c r="N16" s="1124"/>
      <c r="O16" s="1091"/>
      <c r="P16" s="222"/>
      <c r="Q16" s="222"/>
      <c r="R16" s="222"/>
      <c r="S16" s="222"/>
      <c r="T16" s="222"/>
      <c r="U16" s="222"/>
      <c r="V16" s="222"/>
      <c r="W16" s="222"/>
      <c r="X16" s="222"/>
      <c r="Y16" s="1127"/>
      <c r="Z16" s="1093"/>
      <c r="AA16" s="1182">
        <f>IF(soil_exist&gt;1000,"Warning! Check Residual Saturation (WAC340-747(10)).","")</f>
      </c>
      <c r="AB16" s="373"/>
      <c r="AC16" s="373"/>
      <c r="AD16" s="373"/>
      <c r="AE16" s="373"/>
      <c r="AF16" s="373"/>
      <c r="AG16" s="373"/>
      <c r="AH16" s="1093"/>
      <c r="AI16" s="1093"/>
      <c r="AJ16" s="1093"/>
      <c r="AK16" s="1092"/>
    </row>
    <row r="17" spans="1:37" ht="12.75" customHeight="1" thickBot="1">
      <c r="A17" s="222"/>
      <c r="B17" s="2015" t="str">
        <f>'Chemical List'!B14</f>
        <v>AL_EC &gt;12-16</v>
      </c>
      <c r="C17" s="2016"/>
      <c r="D17" s="2016"/>
      <c r="E17" s="222"/>
      <c r="F17" s="222"/>
      <c r="G17" s="343">
        <v>125</v>
      </c>
      <c r="H17" s="1123">
        <f>'Soil-to-GroundWater'!C20</f>
        <v>0.14790273915872923</v>
      </c>
      <c r="I17" s="1124"/>
      <c r="J17" s="1124"/>
      <c r="K17" s="1124"/>
      <c r="L17" s="1124"/>
      <c r="M17" s="1124"/>
      <c r="N17" s="1124"/>
      <c r="O17" s="1091"/>
      <c r="P17" s="222"/>
      <c r="Q17" s="1128"/>
      <c r="R17" s="1128"/>
      <c r="S17" s="1128"/>
      <c r="T17" s="1128"/>
      <c r="U17" s="1129"/>
      <c r="V17" s="1130"/>
      <c r="W17" s="1131"/>
      <c r="X17" s="1131"/>
      <c r="Y17" s="1127"/>
      <c r="Z17" s="1703"/>
      <c r="AA17" s="1704" t="s">
        <v>641</v>
      </c>
      <c r="AB17" s="1705"/>
      <c r="AC17" s="1703"/>
      <c r="AD17" s="1703"/>
      <c r="AE17" s="1703"/>
      <c r="AF17" s="1703"/>
      <c r="AG17" s="1703"/>
      <c r="AH17" s="1703"/>
      <c r="AI17" s="1703"/>
      <c r="AJ17" s="1703"/>
      <c r="AK17" s="1706"/>
    </row>
    <row r="18" spans="1:37" ht="12.75" customHeight="1" thickBot="1">
      <c r="A18" s="222"/>
      <c r="B18" s="2015" t="str">
        <f>'Chemical List'!B15</f>
        <v>AL_EC &gt;16-21</v>
      </c>
      <c r="C18" s="2016"/>
      <c r="D18" s="2016"/>
      <c r="E18" s="222"/>
      <c r="F18" s="222"/>
      <c r="G18" s="343">
        <v>300</v>
      </c>
      <c r="H18" s="1123">
        <f>'Soil-to-GroundWater'!C21</f>
        <v>0.35496657398095016</v>
      </c>
      <c r="I18" s="1124"/>
      <c r="J18" s="1124"/>
      <c r="K18" s="1124"/>
      <c r="L18" s="1124"/>
      <c r="M18" s="1124"/>
      <c r="N18" s="1124"/>
      <c r="O18" s="1091"/>
      <c r="P18" s="222"/>
      <c r="Q18" s="222"/>
      <c r="R18" s="1132"/>
      <c r="S18" s="1132"/>
      <c r="T18" s="1132"/>
      <c r="U18" s="1112"/>
      <c r="V18" s="1112"/>
      <c r="W18" s="1027"/>
      <c r="X18" s="1027"/>
      <c r="Y18" s="1127"/>
      <c r="Z18" s="1703"/>
      <c r="AA18" s="1707"/>
      <c r="AB18" s="1708"/>
      <c r="AC18" s="1709"/>
      <c r="AD18" s="1982" t="s">
        <v>420</v>
      </c>
      <c r="AE18" s="1983"/>
      <c r="AF18" s="1984"/>
      <c r="AG18" s="1982" t="s">
        <v>416</v>
      </c>
      <c r="AH18" s="1983"/>
      <c r="AI18" s="1983"/>
      <c r="AJ18" s="1984"/>
      <c r="AK18" s="1706"/>
    </row>
    <row r="19" spans="1:37" ht="12.75" customHeight="1">
      <c r="A19" s="233"/>
      <c r="B19" s="2041" t="str">
        <f>'Chemical List'!B16</f>
        <v>AL_EC &gt;21-34</v>
      </c>
      <c r="C19" s="2042"/>
      <c r="D19" s="2042"/>
      <c r="E19" s="1133"/>
      <c r="F19" s="1133"/>
      <c r="G19" s="389"/>
      <c r="H19" s="1134">
        <f>'Soil-to-GroundWater'!C22</f>
        <v>0</v>
      </c>
      <c r="I19" s="1124"/>
      <c r="J19" s="1124"/>
      <c r="K19" s="1124"/>
      <c r="L19" s="1124"/>
      <c r="M19" s="1124"/>
      <c r="N19" s="1124"/>
      <c r="O19" s="1091"/>
      <c r="P19" s="222"/>
      <c r="Q19" s="222"/>
      <c r="R19" s="222"/>
      <c r="S19" s="222"/>
      <c r="T19" s="222"/>
      <c r="U19" s="222"/>
      <c r="V19" s="222"/>
      <c r="W19" s="222"/>
      <c r="X19" s="222"/>
      <c r="Y19" s="1127"/>
      <c r="Z19" s="1703"/>
      <c r="AA19" s="1710" t="s">
        <v>495</v>
      </c>
      <c r="AB19" s="1711"/>
      <c r="AC19" s="1712"/>
      <c r="AD19" s="1994">
        <v>307.4317806912004</v>
      </c>
      <c r="AE19" s="1994"/>
      <c r="AF19" s="1995"/>
      <c r="AG19" s="1993">
        <v>12377.488835267612</v>
      </c>
      <c r="AH19" s="1994"/>
      <c r="AI19" s="1994"/>
      <c r="AJ19" s="1995"/>
      <c r="AK19" s="1706"/>
    </row>
    <row r="20" spans="1:37" ht="12.75" customHeight="1" thickBot="1">
      <c r="A20" s="222"/>
      <c r="B20" s="2015" t="str">
        <f>'Chemical List'!B17</f>
        <v>AR_EC &gt;8-10</v>
      </c>
      <c r="C20" s="2016"/>
      <c r="D20" s="2016"/>
      <c r="E20" s="222"/>
      <c r="F20" s="222"/>
      <c r="G20" s="344">
        <v>1</v>
      </c>
      <c r="H20" s="1123">
        <f>'Soil-to-GroundWater'!C23</f>
        <v>0.0011832219132698338</v>
      </c>
      <c r="I20" s="1124"/>
      <c r="J20" s="1124"/>
      <c r="K20" s="1124"/>
      <c r="L20" s="1124"/>
      <c r="M20" s="1124"/>
      <c r="N20" s="1124"/>
      <c r="O20" s="1091"/>
      <c r="P20" s="222"/>
      <c r="Q20" s="222"/>
      <c r="R20" s="222"/>
      <c r="S20" s="222"/>
      <c r="T20" s="222"/>
      <c r="U20" s="222"/>
      <c r="V20" s="222"/>
      <c r="W20" s="222"/>
      <c r="X20" s="222"/>
      <c r="Y20" s="518"/>
      <c r="Z20" s="1703"/>
      <c r="AA20" s="1713" t="s">
        <v>576</v>
      </c>
      <c r="AB20" s="1714"/>
      <c r="AC20" s="1715"/>
      <c r="AD20" s="2059" t="s">
        <v>632</v>
      </c>
      <c r="AE20" s="2059"/>
      <c r="AF20" s="2060"/>
      <c r="AG20" s="2058" t="s">
        <v>618</v>
      </c>
      <c r="AH20" s="2059"/>
      <c r="AI20" s="2059"/>
      <c r="AJ20" s="2060"/>
      <c r="AK20" s="1706"/>
    </row>
    <row r="21" spans="1:37" ht="12.75" customHeight="1" thickBot="1" thickTop="1">
      <c r="A21" s="222"/>
      <c r="B21" s="2015" t="str">
        <f>'Chemical List'!B18</f>
        <v>AR_EC &gt;10-12</v>
      </c>
      <c r="C21" s="2016"/>
      <c r="D21" s="2016"/>
      <c r="E21" s="222"/>
      <c r="F21" s="222"/>
      <c r="G21" s="343">
        <v>24</v>
      </c>
      <c r="H21" s="1123">
        <f>'Soil-to-GroundWater'!C24</f>
        <v>0.02839732591847601</v>
      </c>
      <c r="I21" s="1124"/>
      <c r="J21" s="1124"/>
      <c r="K21" s="1124"/>
      <c r="L21" s="1124"/>
      <c r="M21" s="1124"/>
      <c r="N21" s="1124"/>
      <c r="O21" s="1091"/>
      <c r="P21" s="222"/>
      <c r="Q21" s="222"/>
      <c r="R21" s="1135"/>
      <c r="S21" s="1135"/>
      <c r="T21" s="1135"/>
      <c r="U21" s="222"/>
      <c r="V21" s="222"/>
      <c r="W21" s="1112"/>
      <c r="X21" s="1112"/>
      <c r="Y21" s="518"/>
      <c r="Z21" s="1703"/>
      <c r="AA21" s="1716"/>
      <c r="AB21" s="1717"/>
      <c r="AC21" s="1718"/>
      <c r="AD21" s="1719"/>
      <c r="AE21" s="1719"/>
      <c r="AF21" s="1719"/>
      <c r="AG21" s="1719"/>
      <c r="AH21" s="1719"/>
      <c r="AI21" s="1719"/>
      <c r="AJ21" s="1719"/>
      <c r="AK21" s="1706"/>
    </row>
    <row r="22" spans="1:37" ht="12.75" customHeight="1" thickTop="1">
      <c r="A22" s="222"/>
      <c r="B22" s="2015" t="str">
        <f>'Chemical List'!B19</f>
        <v>AR_EC &gt;12-16</v>
      </c>
      <c r="C22" s="2016"/>
      <c r="D22" s="2016"/>
      <c r="E22" s="222"/>
      <c r="F22" s="222"/>
      <c r="G22" s="343">
        <v>55</v>
      </c>
      <c r="H22" s="1123">
        <f>'Soil-to-GroundWater'!C25</f>
        <v>0.06507720522984085</v>
      </c>
      <c r="I22" s="1124"/>
      <c r="J22" s="1124"/>
      <c r="K22" s="1124"/>
      <c r="L22" s="1124"/>
      <c r="M22" s="1124"/>
      <c r="N22" s="1124"/>
      <c r="O22" s="1091"/>
      <c r="P22" s="222"/>
      <c r="Q22" s="222"/>
      <c r="R22" s="222"/>
      <c r="S22" s="222"/>
      <c r="T22" s="222"/>
      <c r="U22" s="222"/>
      <c r="V22" s="222"/>
      <c r="W22" s="222"/>
      <c r="X22" s="222"/>
      <c r="Y22" s="1136"/>
      <c r="Z22" s="1703"/>
      <c r="AA22" s="2067" t="s">
        <v>496</v>
      </c>
      <c r="AB22" s="2068"/>
      <c r="AC22" s="1985" t="s">
        <v>497</v>
      </c>
      <c r="AD22" s="1986"/>
      <c r="AE22" s="1986"/>
      <c r="AF22" s="1987"/>
      <c r="AG22" s="1985" t="s">
        <v>498</v>
      </c>
      <c r="AH22" s="1986"/>
      <c r="AI22" s="1986"/>
      <c r="AJ22" s="1987"/>
      <c r="AK22" s="1706"/>
    </row>
    <row r="23" spans="1:37" ht="12.75" customHeight="1">
      <c r="A23" s="222"/>
      <c r="B23" s="2015" t="str">
        <f>'Chemical List'!B20</f>
        <v>AR_EC &gt;16-21</v>
      </c>
      <c r="C23" s="2016"/>
      <c r="D23" s="2016"/>
      <c r="E23" s="222"/>
      <c r="F23" s="222"/>
      <c r="G23" s="343">
        <v>145</v>
      </c>
      <c r="H23" s="1123">
        <f>'Soil-to-GroundWater'!C26</f>
        <v>0.1715671774241259</v>
      </c>
      <c r="I23" s="1124"/>
      <c r="J23" s="1124"/>
      <c r="K23" s="1124"/>
      <c r="L23" s="1124"/>
      <c r="M23" s="1124"/>
      <c r="N23" s="1124"/>
      <c r="O23" s="1091"/>
      <c r="P23" s="222"/>
      <c r="Q23" s="222"/>
      <c r="R23" s="222"/>
      <c r="S23" s="222"/>
      <c r="T23" s="222"/>
      <c r="U23" s="222"/>
      <c r="V23" s="222"/>
      <c r="W23" s="222"/>
      <c r="X23" s="222"/>
      <c r="Y23" s="518"/>
      <c r="Z23" s="1703"/>
      <c r="AA23" s="2067"/>
      <c r="AB23" s="2068"/>
      <c r="AC23" s="1996" t="s">
        <v>494</v>
      </c>
      <c r="AD23" s="2090" t="s">
        <v>577</v>
      </c>
      <c r="AE23" s="1978" t="s">
        <v>528</v>
      </c>
      <c r="AF23" s="1980" t="s">
        <v>529</v>
      </c>
      <c r="AG23" s="1996" t="str">
        <f>AC23</f>
        <v>Most Stringent?</v>
      </c>
      <c r="AH23" s="2090" t="str">
        <f>AD23</f>
        <v>TPH Conc, mg/kg</v>
      </c>
      <c r="AI23" s="1978" t="str">
        <f>AE23</f>
        <v>RISK @</v>
      </c>
      <c r="AJ23" s="1980" t="str">
        <f>AF23</f>
        <v>HI @</v>
      </c>
      <c r="AK23" s="1706"/>
    </row>
    <row r="24" spans="1:37" ht="12.75" customHeight="1" thickBot="1">
      <c r="A24" s="222"/>
      <c r="B24" s="2017" t="str">
        <f>'Chemical List'!B21</f>
        <v>AR_EC &gt;21-34</v>
      </c>
      <c r="C24" s="2018"/>
      <c r="D24" s="2018"/>
      <c r="E24" s="1137"/>
      <c r="F24" s="1137"/>
      <c r="G24" s="345"/>
      <c r="H24" s="1138">
        <f>'Soil-to-GroundWater'!C27</f>
        <v>0</v>
      </c>
      <c r="I24" s="1124"/>
      <c r="J24" s="1124"/>
      <c r="K24" s="1124"/>
      <c r="L24" s="1124"/>
      <c r="M24" s="1124"/>
      <c r="N24" s="1124"/>
      <c r="O24" s="1091"/>
      <c r="P24" s="222"/>
      <c r="Q24" s="679"/>
      <c r="R24" s="679"/>
      <c r="S24" s="679"/>
      <c r="T24" s="679"/>
      <c r="U24" s="1139"/>
      <c r="V24" s="1139"/>
      <c r="W24" s="222"/>
      <c r="X24" s="222"/>
      <c r="Y24" s="1140"/>
      <c r="Z24" s="1703"/>
      <c r="AA24" s="2069"/>
      <c r="AB24" s="2070"/>
      <c r="AC24" s="1997"/>
      <c r="AD24" s="1979"/>
      <c r="AE24" s="1979"/>
      <c r="AF24" s="1981"/>
      <c r="AG24" s="1997"/>
      <c r="AH24" s="1979"/>
      <c r="AI24" s="1979"/>
      <c r="AJ24" s="1981"/>
      <c r="AK24" s="1706"/>
    </row>
    <row r="25" spans="1:37" ht="12.75" customHeight="1" thickTop="1">
      <c r="A25" s="222"/>
      <c r="B25" s="2015" t="str">
        <f>'Chemical List'!B22</f>
        <v>Benzene</v>
      </c>
      <c r="C25" s="2016"/>
      <c r="D25" s="2016"/>
      <c r="E25" s="222"/>
      <c r="F25" s="222"/>
      <c r="G25" s="344">
        <v>0.03</v>
      </c>
      <c r="H25" s="1123">
        <f>'Soil-to-GroundWater'!C28</f>
        <v>3.549665739809501E-05</v>
      </c>
      <c r="I25" s="1124"/>
      <c r="J25" s="1124"/>
      <c r="K25" s="1124"/>
      <c r="L25" s="1124"/>
      <c r="M25" s="1124"/>
      <c r="N25" s="1124"/>
      <c r="O25" s="1091"/>
      <c r="P25" s="222"/>
      <c r="Q25" s="679"/>
      <c r="R25" s="679"/>
      <c r="S25" s="679"/>
      <c r="T25" s="679"/>
      <c r="U25" s="1141"/>
      <c r="V25" s="1141"/>
      <c r="W25" s="1141"/>
      <c r="X25" s="1141"/>
      <c r="Y25" s="1142"/>
      <c r="Z25" s="1703"/>
      <c r="AA25" s="1720" t="s">
        <v>399</v>
      </c>
      <c r="AB25" s="1721"/>
      <c r="AC25" s="1722" t="s">
        <v>631</v>
      </c>
      <c r="AD25" s="1723">
        <v>3248.2557135910074</v>
      </c>
      <c r="AE25" s="1723">
        <v>1.0572126212562665E-05</v>
      </c>
      <c r="AF25" s="1724">
        <v>0.9999999999999998</v>
      </c>
      <c r="AG25" s="1722" t="s">
        <v>631</v>
      </c>
      <c r="AH25" s="1725">
        <v>43321.19067537997</v>
      </c>
      <c r="AI25" s="1723">
        <v>3.499998364122405E-05</v>
      </c>
      <c r="AJ25" s="1724">
        <v>1.0000000000000007</v>
      </c>
      <c r="AK25" s="1706"/>
    </row>
    <row r="26" spans="1:37" ht="12.75" customHeight="1">
      <c r="A26" s="222"/>
      <c r="B26" s="2015" t="str">
        <f>'Chemical List'!B23</f>
        <v>Toluene</v>
      </c>
      <c r="C26" s="2016"/>
      <c r="D26" s="2016"/>
      <c r="E26" s="222"/>
      <c r="F26" s="222"/>
      <c r="G26" s="343">
        <v>5</v>
      </c>
      <c r="H26" s="1123">
        <f>'Soil-to-GroundWater'!C29</f>
        <v>0.005916109566349169</v>
      </c>
      <c r="I26" s="1124"/>
      <c r="J26" s="1124"/>
      <c r="K26" s="1124"/>
      <c r="L26" s="1124"/>
      <c r="M26" s="1124"/>
      <c r="N26" s="1124"/>
      <c r="O26" s="1091"/>
      <c r="P26" s="222"/>
      <c r="Q26" s="679"/>
      <c r="R26" s="679"/>
      <c r="S26" s="679"/>
      <c r="T26" s="679"/>
      <c r="U26" s="1143"/>
      <c r="V26" s="1143"/>
      <c r="W26" s="1139"/>
      <c r="X26" s="1139"/>
      <c r="Y26" s="1142"/>
      <c r="Z26" s="1703"/>
      <c r="AA26" s="1726" t="s">
        <v>618</v>
      </c>
      <c r="AB26" s="1727"/>
      <c r="AC26" s="1728" t="s">
        <v>631</v>
      </c>
      <c r="AD26" s="1729">
        <v>3072.4715618048185</v>
      </c>
      <c r="AE26" s="1729">
        <v>1E-05</v>
      </c>
      <c r="AF26" s="1730">
        <v>0.9458835241786252</v>
      </c>
      <c r="AG26" s="1731" t="s">
        <v>627</v>
      </c>
      <c r="AH26" s="1732">
        <v>12377.488835267612</v>
      </c>
      <c r="AI26" s="1733">
        <v>1E-05</v>
      </c>
      <c r="AJ26" s="1734">
        <v>0.2857144192553764</v>
      </c>
      <c r="AK26" s="1706"/>
    </row>
    <row r="27" spans="1:37" ht="12.75" customHeight="1">
      <c r="A27" s="222"/>
      <c r="B27" s="2015" t="str">
        <f>'Chemical List'!B24</f>
        <v>Ethylbenzene</v>
      </c>
      <c r="C27" s="2016"/>
      <c r="D27" s="2016"/>
      <c r="E27" s="222"/>
      <c r="F27" s="222"/>
      <c r="G27" s="343">
        <v>7</v>
      </c>
      <c r="H27" s="1123">
        <f>'Soil-to-GroundWater'!C30</f>
        <v>0.008282553392888836</v>
      </c>
      <c r="I27" s="1124"/>
      <c r="J27" s="1124"/>
      <c r="K27" s="1124"/>
      <c r="L27" s="1124"/>
      <c r="M27" s="1124"/>
      <c r="N27" s="1124"/>
      <c r="O27" s="1091"/>
      <c r="P27" s="222"/>
      <c r="Q27" s="679"/>
      <c r="R27" s="679"/>
      <c r="S27" s="679"/>
      <c r="T27" s="679"/>
      <c r="U27" s="1144"/>
      <c r="V27" s="1144"/>
      <c r="W27" s="1141"/>
      <c r="X27" s="1141"/>
      <c r="Y27" s="1140"/>
      <c r="Z27" s="1703"/>
      <c r="AA27" s="1726" t="s">
        <v>617</v>
      </c>
      <c r="AB27" s="1727"/>
      <c r="AC27" s="1728" t="s">
        <v>631</v>
      </c>
      <c r="AD27" s="1729">
        <v>511619.7194317267</v>
      </c>
      <c r="AE27" s="1729">
        <v>0.001665173164796335</v>
      </c>
      <c r="AF27" s="1730">
        <v>157.50598614852322</v>
      </c>
      <c r="AG27" s="2081" t="s">
        <v>490</v>
      </c>
      <c r="AH27" s="2082"/>
      <c r="AI27" s="2082"/>
      <c r="AJ27" s="2083"/>
      <c r="AK27" s="1706"/>
    </row>
    <row r="28" spans="1:37" ht="12.75" customHeight="1" thickBot="1">
      <c r="A28" s="222"/>
      <c r="B28" s="2015" t="str">
        <f>'Chemical List'!B25</f>
        <v>Total Xylenes</v>
      </c>
      <c r="C28" s="2016"/>
      <c r="D28" s="2016"/>
      <c r="E28" s="1137"/>
      <c r="F28" s="1145"/>
      <c r="G28" s="345">
        <v>13</v>
      </c>
      <c r="H28" s="1138">
        <f>'Soil-to-GroundWater'!C31</f>
        <v>0.015381884872507839</v>
      </c>
      <c r="I28" s="1124"/>
      <c r="J28" s="1124"/>
      <c r="K28" s="1124"/>
      <c r="L28" s="1124"/>
      <c r="M28" s="1124"/>
      <c r="N28" s="1124"/>
      <c r="O28" s="1091"/>
      <c r="P28" s="222"/>
      <c r="Q28" s="679"/>
      <c r="R28" s="679"/>
      <c r="S28" s="679"/>
      <c r="T28" s="679"/>
      <c r="U28" s="1144"/>
      <c r="V28" s="1144"/>
      <c r="W28" s="1143"/>
      <c r="X28" s="1143"/>
      <c r="Y28" s="1140"/>
      <c r="Z28" s="1703"/>
      <c r="AA28" s="1726" t="s">
        <v>632</v>
      </c>
      <c r="AB28" s="1727"/>
      <c r="AC28" s="1735" t="s">
        <v>627</v>
      </c>
      <c r="AD28" s="1736">
        <v>307.4317806912004</v>
      </c>
      <c r="AE28" s="1736">
        <v>1.0006008990059133E-06</v>
      </c>
      <c r="AF28" s="1737">
        <v>0.09464519046480141</v>
      </c>
      <c r="AG28" s="2084"/>
      <c r="AH28" s="2085"/>
      <c r="AI28" s="2085"/>
      <c r="AJ28" s="2086"/>
      <c r="AK28" s="1706"/>
    </row>
    <row r="29" spans="1:37" ht="12.75" customHeight="1">
      <c r="A29" s="222"/>
      <c r="B29" s="2065" t="str">
        <f>'Chemical List'!B26</f>
        <v>Naphthalene</v>
      </c>
      <c r="C29" s="2066"/>
      <c r="D29" s="2066"/>
      <c r="E29" s="222"/>
      <c r="F29" s="222"/>
      <c r="G29" s="344">
        <v>15</v>
      </c>
      <c r="H29" s="1123">
        <f>'Soil-to-GroundWater'!C32</f>
        <v>0.017748328699047508</v>
      </c>
      <c r="I29" s="1124"/>
      <c r="J29" s="1124"/>
      <c r="K29" s="1124"/>
      <c r="L29" s="1124"/>
      <c r="M29" s="1124"/>
      <c r="N29" s="1124"/>
      <c r="O29" s="1091"/>
      <c r="P29" s="222"/>
      <c r="Q29" s="679"/>
      <c r="R29" s="679"/>
      <c r="S29" s="679"/>
      <c r="T29" s="679"/>
      <c r="U29" s="1146"/>
      <c r="V29" s="1146"/>
      <c r="W29" s="1144"/>
      <c r="X29" s="1144"/>
      <c r="Y29" s="1147"/>
      <c r="Z29" s="1703"/>
      <c r="AA29" s="1726" t="s">
        <v>628</v>
      </c>
      <c r="AB29" s="1738"/>
      <c r="AC29" s="1739" t="s">
        <v>490</v>
      </c>
      <c r="AD29" s="1740" t="s">
        <v>490</v>
      </c>
      <c r="AE29" s="1740" t="s">
        <v>490</v>
      </c>
      <c r="AF29" s="1741" t="s">
        <v>490</v>
      </c>
      <c r="AG29" s="2084"/>
      <c r="AH29" s="2085"/>
      <c r="AI29" s="2085"/>
      <c r="AJ29" s="2086"/>
      <c r="AK29" s="1706"/>
    </row>
    <row r="30" spans="1:37" ht="12.75" customHeight="1" thickBot="1">
      <c r="A30" s="222"/>
      <c r="B30" s="2015" t="str">
        <f>'Chemical List'!B27</f>
        <v>1-Methyl Naphthalene</v>
      </c>
      <c r="C30" s="2029"/>
      <c r="D30" s="2029"/>
      <c r="E30" s="222"/>
      <c r="F30" s="222"/>
      <c r="G30" s="344"/>
      <c r="H30" s="1123">
        <f>'Soil-to-GroundWater'!C33</f>
        <v>0</v>
      </c>
      <c r="I30" s="1124"/>
      <c r="J30" s="1124"/>
      <c r="K30" s="1124"/>
      <c r="L30" s="1124"/>
      <c r="M30" s="1124"/>
      <c r="N30" s="1124"/>
      <c r="O30" s="1091"/>
      <c r="P30" s="222"/>
      <c r="Q30" s="679"/>
      <c r="R30" s="679"/>
      <c r="S30" s="679"/>
      <c r="T30" s="679"/>
      <c r="U30" s="1148"/>
      <c r="V30" s="1148"/>
      <c r="W30" s="1144"/>
      <c r="X30" s="1144"/>
      <c r="Y30" s="1149"/>
      <c r="Z30" s="1703"/>
      <c r="AA30" s="1742" t="s">
        <v>629</v>
      </c>
      <c r="AB30" s="1806"/>
      <c r="AC30" s="1807" t="s">
        <v>490</v>
      </c>
      <c r="AD30" s="1780" t="s">
        <v>490</v>
      </c>
      <c r="AE30" s="1780" t="s">
        <v>490</v>
      </c>
      <c r="AF30" s="1781" t="s">
        <v>490</v>
      </c>
      <c r="AG30" s="2087"/>
      <c r="AH30" s="2088"/>
      <c r="AI30" s="2088"/>
      <c r="AJ30" s="2089"/>
      <c r="AK30" s="1706"/>
    </row>
    <row r="31" spans="1:37" ht="12.75" customHeight="1">
      <c r="A31" s="222"/>
      <c r="B31" s="2015" t="str">
        <f>'Chemical List'!B28</f>
        <v>2-Methyl Naphthalene</v>
      </c>
      <c r="C31" s="2029"/>
      <c r="D31" s="2029"/>
      <c r="E31" s="222"/>
      <c r="F31" s="222"/>
      <c r="G31" s="344"/>
      <c r="H31" s="1123">
        <f>'Soil-to-GroundWater'!C34</f>
        <v>0</v>
      </c>
      <c r="I31" s="1124"/>
      <c r="J31" s="1124"/>
      <c r="K31" s="1124"/>
      <c r="L31" s="1124"/>
      <c r="M31" s="1124"/>
      <c r="N31" s="1124"/>
      <c r="O31" s="1091"/>
      <c r="P31" s="222"/>
      <c r="Q31" s="679"/>
      <c r="R31" s="679"/>
      <c r="S31" s="679"/>
      <c r="T31" s="679"/>
      <c r="U31" s="1150"/>
      <c r="V31" s="1150"/>
      <c r="W31" s="1146"/>
      <c r="X31" s="1146"/>
      <c r="Y31" s="1153"/>
      <c r="Z31" s="1703"/>
      <c r="AA31" s="1743"/>
      <c r="AB31" s="1743"/>
      <c r="AC31" s="1743"/>
      <c r="AD31" s="1743"/>
      <c r="AE31" s="1744"/>
      <c r="AF31" s="1745"/>
      <c r="AG31" s="1703"/>
      <c r="AH31" s="1703"/>
      <c r="AI31" s="1703"/>
      <c r="AJ31" s="1703"/>
      <c r="AK31" s="1706"/>
    </row>
    <row r="32" spans="1:37" ht="12.75" customHeight="1">
      <c r="A32" s="222"/>
      <c r="B32" s="2015" t="str">
        <f>'Chemical List'!B29</f>
        <v>n-Hexane</v>
      </c>
      <c r="C32" s="2030"/>
      <c r="D32" s="2030"/>
      <c r="E32" s="222"/>
      <c r="F32" s="222"/>
      <c r="G32" s="343"/>
      <c r="H32" s="1123">
        <f>'Soil-to-GroundWater'!C35</f>
        <v>0</v>
      </c>
      <c r="I32" s="1124"/>
      <c r="J32" s="1124"/>
      <c r="K32" s="1124"/>
      <c r="L32" s="1124"/>
      <c r="M32" s="1124"/>
      <c r="N32" s="1124"/>
      <c r="O32" s="1091"/>
      <c r="P32" s="222"/>
      <c r="Q32" s="679"/>
      <c r="R32" s="679"/>
      <c r="S32" s="679"/>
      <c r="T32" s="679"/>
      <c r="U32" s="1151"/>
      <c r="V32" s="1151"/>
      <c r="W32" s="1148"/>
      <c r="X32" s="1148"/>
      <c r="Y32" s="1155"/>
      <c r="Z32" s="1703"/>
      <c r="AA32" s="1704" t="s">
        <v>499</v>
      </c>
      <c r="AB32" s="1703"/>
      <c r="AC32" s="1743"/>
      <c r="AD32" s="1743"/>
      <c r="AE32" s="1743"/>
      <c r="AF32" s="1703"/>
      <c r="AG32" s="1703"/>
      <c r="AH32" s="1743"/>
      <c r="AI32" s="1746"/>
      <c r="AJ32" s="1743"/>
      <c r="AK32" s="1706"/>
    </row>
    <row r="33" spans="1:37" ht="12.75" customHeight="1" thickBot="1">
      <c r="A33" s="222"/>
      <c r="B33" s="2015" t="str">
        <f>'Chemical List'!B30</f>
        <v>MTBE</v>
      </c>
      <c r="C33" s="2030"/>
      <c r="D33" s="2030"/>
      <c r="E33" s="222"/>
      <c r="F33" s="222"/>
      <c r="G33" s="343"/>
      <c r="H33" s="1123">
        <f>'Soil-to-GroundWater'!C36</f>
        <v>0</v>
      </c>
      <c r="I33" s="1124"/>
      <c r="J33" s="1124"/>
      <c r="K33" s="1124"/>
      <c r="L33" s="1124"/>
      <c r="M33" s="1124"/>
      <c r="N33" s="1124"/>
      <c r="O33" s="1091"/>
      <c r="P33" s="222"/>
      <c r="Q33" s="679"/>
      <c r="R33" s="679"/>
      <c r="S33" s="679"/>
      <c r="T33" s="679"/>
      <c r="U33" s="1152"/>
      <c r="V33" s="1152"/>
      <c r="W33" s="1150"/>
      <c r="X33" s="1150"/>
      <c r="Y33" s="1156"/>
      <c r="Z33" s="1703"/>
      <c r="AA33" s="1747" t="s">
        <v>639</v>
      </c>
      <c r="AB33" s="1747"/>
      <c r="AC33" s="1748"/>
      <c r="AD33" s="1748"/>
      <c r="AE33" s="1748"/>
      <c r="AF33" s="1747"/>
      <c r="AG33" s="1747"/>
      <c r="AH33" s="1748"/>
      <c r="AI33" s="1746"/>
      <c r="AJ33" s="1748"/>
      <c r="AK33" s="1749"/>
    </row>
    <row r="34" spans="1:37" ht="12.75" customHeight="1">
      <c r="A34" s="222"/>
      <c r="B34" s="2015" t="str">
        <f>'Chemical List'!B34</f>
        <v>Ethylene Dibromide (EDB)</v>
      </c>
      <c r="C34" s="2030"/>
      <c r="D34" s="2030"/>
      <c r="E34" s="222"/>
      <c r="F34" s="222"/>
      <c r="G34" s="343"/>
      <c r="H34" s="1123">
        <f>'Soil-to-GroundWater'!C37</f>
        <v>0</v>
      </c>
      <c r="I34" s="1124"/>
      <c r="J34" s="1124"/>
      <c r="K34" s="1124"/>
      <c r="L34" s="1124"/>
      <c r="M34" s="1124"/>
      <c r="N34" s="1124"/>
      <c r="O34" s="1091"/>
      <c r="P34" s="222"/>
      <c r="Q34" s="679"/>
      <c r="R34" s="679"/>
      <c r="S34" s="679"/>
      <c r="T34" s="679"/>
      <c r="U34" s="1042"/>
      <c r="V34" s="1042"/>
      <c r="W34" s="1151"/>
      <c r="X34" s="1151"/>
      <c r="Y34" s="1156"/>
      <c r="Z34" s="1703"/>
      <c r="AA34" s="1750" t="s">
        <v>576</v>
      </c>
      <c r="AB34" s="1751"/>
      <c r="AC34" s="1752"/>
      <c r="AD34" s="2076"/>
      <c r="AE34" s="2077"/>
      <c r="AF34" s="2078"/>
      <c r="AG34" s="1753"/>
      <c r="AH34" s="1748"/>
      <c r="AI34" s="1746"/>
      <c r="AJ34" s="1748"/>
      <c r="AK34" s="1749"/>
    </row>
    <row r="35" spans="1:37" ht="12.75" customHeight="1" thickBot="1">
      <c r="A35" s="222"/>
      <c r="B35" s="2017" t="str">
        <f>'Chemical List'!B35</f>
        <v>1,2 Dichloroethane (EDC)</v>
      </c>
      <c r="C35" s="2031"/>
      <c r="D35" s="2031"/>
      <c r="E35" s="1137"/>
      <c r="F35" s="1137"/>
      <c r="G35" s="345"/>
      <c r="H35" s="1138">
        <f>'Soil-to-GroundWater'!C38</f>
        <v>0</v>
      </c>
      <c r="I35" s="1124"/>
      <c r="J35" s="1124"/>
      <c r="K35" s="1124"/>
      <c r="L35" s="1124"/>
      <c r="M35" s="1124"/>
      <c r="N35" s="1124"/>
      <c r="O35" s="1091"/>
      <c r="P35" s="222"/>
      <c r="Q35" s="1154"/>
      <c r="R35" s="1154"/>
      <c r="S35" s="1154"/>
      <c r="T35" s="1154"/>
      <c r="U35" s="1044"/>
      <c r="V35" s="1044"/>
      <c r="W35" s="1152"/>
      <c r="X35" s="1152"/>
      <c r="Y35" s="1156"/>
      <c r="Z35" s="1703"/>
      <c r="AA35" s="1726" t="s">
        <v>501</v>
      </c>
      <c r="AB35" s="1754"/>
      <c r="AC35" s="1755"/>
      <c r="AD35" s="2055"/>
      <c r="AE35" s="2056"/>
      <c r="AF35" s="2057"/>
      <c r="AG35" s="1749"/>
      <c r="AH35" s="1748"/>
      <c r="AI35" s="1746"/>
      <c r="AJ35" s="1748"/>
      <c r="AK35" s="1749"/>
    </row>
    <row r="36" spans="1:37" ht="12.75" customHeight="1" thickBot="1">
      <c r="A36" s="222"/>
      <c r="B36" s="2015" t="str">
        <f>'Chemical List'!B36</f>
        <v>Benzo(a)anthracene</v>
      </c>
      <c r="C36" s="2029"/>
      <c r="D36" s="2029"/>
      <c r="E36" s="222"/>
      <c r="F36" s="222"/>
      <c r="G36" s="344"/>
      <c r="H36" s="1123">
        <f>'Soil-to-GroundWater'!C39</f>
        <v>0</v>
      </c>
      <c r="I36" s="1124"/>
      <c r="J36" s="1124"/>
      <c r="K36" s="1124"/>
      <c r="L36" s="1124"/>
      <c r="M36" s="1124"/>
      <c r="N36" s="1124"/>
      <c r="O36" s="1091"/>
      <c r="P36" s="222"/>
      <c r="Q36" s="1154"/>
      <c r="R36" s="1154"/>
      <c r="S36" s="1154"/>
      <c r="T36" s="1154"/>
      <c r="U36" s="1044"/>
      <c r="V36" s="1044"/>
      <c r="W36" s="1042"/>
      <c r="X36" s="1042"/>
      <c r="Y36" s="1158"/>
      <c r="Z36" s="1703"/>
      <c r="AA36" s="1756" t="s">
        <v>482</v>
      </c>
      <c r="AB36" s="1757"/>
      <c r="AC36" s="1758"/>
      <c r="AD36" s="2071"/>
      <c r="AE36" s="2072"/>
      <c r="AF36" s="2073"/>
      <c r="AG36" s="1759"/>
      <c r="AH36" s="1748"/>
      <c r="AI36" s="1746"/>
      <c r="AJ36" s="1748"/>
      <c r="AK36" s="1749"/>
    </row>
    <row r="37" spans="1:37" ht="12.75" customHeight="1" thickBot="1" thickTop="1">
      <c r="A37" s="222"/>
      <c r="B37" s="2015" t="str">
        <f>'Chemical List'!B37</f>
        <v>Benzo(b)fluoranthene</v>
      </c>
      <c r="C37" s="2029"/>
      <c r="D37" s="2029"/>
      <c r="E37" s="222"/>
      <c r="F37" s="222"/>
      <c r="G37" s="343"/>
      <c r="H37" s="1123">
        <f>'Soil-to-GroundWater'!C40</f>
        <v>0</v>
      </c>
      <c r="I37" s="1124"/>
      <c r="J37" s="1124"/>
      <c r="K37" s="1124"/>
      <c r="L37" s="1124"/>
      <c r="M37" s="1124"/>
      <c r="N37" s="1124"/>
      <c r="O37" s="1091"/>
      <c r="P37" s="222"/>
      <c r="Q37" s="1157"/>
      <c r="R37" s="1157"/>
      <c r="S37" s="1157"/>
      <c r="T37" s="1157"/>
      <c r="U37" s="1044"/>
      <c r="V37" s="1044"/>
      <c r="W37" s="1044"/>
      <c r="X37" s="1044"/>
      <c r="Y37" s="1158"/>
      <c r="Z37" s="1743"/>
      <c r="AA37" s="1760"/>
      <c r="AB37" s="1761"/>
      <c r="AC37" s="1761"/>
      <c r="AD37" s="1762"/>
      <c r="AE37" s="1762"/>
      <c r="AF37" s="1762"/>
      <c r="AG37" s="1762"/>
      <c r="AH37" s="1748"/>
      <c r="AI37" s="1746"/>
      <c r="AJ37" s="1748"/>
      <c r="AK37" s="1749"/>
    </row>
    <row r="38" spans="1:37" ht="12.75" customHeight="1" thickTop="1">
      <c r="A38" s="222"/>
      <c r="B38" s="2015" t="str">
        <f>'Chemical List'!B38</f>
        <v>Benzo(k)fluoranthene</v>
      </c>
      <c r="C38" s="2029"/>
      <c r="D38" s="2029"/>
      <c r="E38" s="222"/>
      <c r="F38" s="222"/>
      <c r="G38" s="343">
        <v>1</v>
      </c>
      <c r="H38" s="1123">
        <f>'Soil-to-GroundWater'!C41</f>
        <v>0.0011832219132698338</v>
      </c>
      <c r="I38" s="1124"/>
      <c r="J38" s="1124"/>
      <c r="K38" s="1124"/>
      <c r="L38" s="1124"/>
      <c r="M38" s="1124"/>
      <c r="N38" s="1124"/>
      <c r="O38" s="1091"/>
      <c r="P38" s="222"/>
      <c r="Q38" s="1157"/>
      <c r="R38" s="1157"/>
      <c r="S38" s="1157"/>
      <c r="T38" s="1157"/>
      <c r="U38" s="1044"/>
      <c r="V38" s="1044"/>
      <c r="W38" s="1044"/>
      <c r="X38" s="1044"/>
      <c r="Y38" s="1158"/>
      <c r="Z38" s="1743"/>
      <c r="AA38" s="2061" t="s">
        <v>500</v>
      </c>
      <c r="AB38" s="2062"/>
      <c r="AC38" s="1988" t="s">
        <v>559</v>
      </c>
      <c r="AD38" s="1989"/>
      <c r="AE38" s="1989"/>
      <c r="AF38" s="1990"/>
      <c r="AG38" s="1991" t="s">
        <v>492</v>
      </c>
      <c r="AH38" s="1748"/>
      <c r="AI38" s="1746"/>
      <c r="AJ38" s="1748"/>
      <c r="AK38" s="1749"/>
    </row>
    <row r="39" spans="1:37" ht="12.75" customHeight="1" thickBot="1">
      <c r="A39" s="222"/>
      <c r="B39" s="2015" t="str">
        <f>'Chemical List'!B39</f>
        <v>Benzo(a)pyrene</v>
      </c>
      <c r="C39" s="2029"/>
      <c r="D39" s="2029"/>
      <c r="E39" s="222"/>
      <c r="F39" s="222"/>
      <c r="G39" s="343">
        <v>0.07</v>
      </c>
      <c r="H39" s="1123">
        <f>'Soil-to-GroundWater'!C42</f>
        <v>8.282553392888837E-05</v>
      </c>
      <c r="I39" s="1124"/>
      <c r="J39" s="1124"/>
      <c r="K39" s="1124"/>
      <c r="L39" s="1124"/>
      <c r="M39" s="1124"/>
      <c r="N39" s="1124"/>
      <c r="O39" s="1091"/>
      <c r="P39" s="222"/>
      <c r="Q39" s="1157"/>
      <c r="R39" s="1157"/>
      <c r="S39" s="1157"/>
      <c r="T39" s="1157"/>
      <c r="U39" s="1044"/>
      <c r="V39" s="1044"/>
      <c r="W39" s="1044"/>
      <c r="X39" s="1044"/>
      <c r="Y39" s="1158"/>
      <c r="Z39" s="1703"/>
      <c r="AA39" s="2063"/>
      <c r="AB39" s="2064"/>
      <c r="AC39" s="1763" t="s">
        <v>494</v>
      </c>
      <c r="AD39" s="1764" t="s">
        <v>578</v>
      </c>
      <c r="AE39" s="1764" t="s">
        <v>528</v>
      </c>
      <c r="AF39" s="1765" t="s">
        <v>529</v>
      </c>
      <c r="AG39" s="1992"/>
      <c r="AH39" s="1749"/>
      <c r="AI39" s="1749"/>
      <c r="AJ39" s="1747"/>
      <c r="AK39" s="1749"/>
    </row>
    <row r="40" spans="1:37" ht="12.75" customHeight="1" thickTop="1">
      <c r="A40" s="222"/>
      <c r="B40" s="2015" t="str">
        <f>'Chemical List'!B40</f>
        <v>Chrysene</v>
      </c>
      <c r="C40" s="2029"/>
      <c r="D40" s="2029"/>
      <c r="E40" s="222"/>
      <c r="F40" s="222"/>
      <c r="G40" s="343">
        <v>1</v>
      </c>
      <c r="H40" s="1123">
        <f>'Soil-to-GroundWater'!C43</f>
        <v>0.0011832219132698338</v>
      </c>
      <c r="I40" s="1124"/>
      <c r="J40" s="1124"/>
      <c r="K40" s="1124"/>
      <c r="L40" s="1124"/>
      <c r="M40" s="1124"/>
      <c r="N40" s="1124"/>
      <c r="O40" s="1091"/>
      <c r="P40" s="222"/>
      <c r="Q40" s="1157"/>
      <c r="R40" s="1157"/>
      <c r="S40" s="1157"/>
      <c r="T40" s="1157"/>
      <c r="U40" s="1044"/>
      <c r="V40" s="1044"/>
      <c r="W40" s="1044"/>
      <c r="X40" s="1044"/>
      <c r="Y40" s="1158"/>
      <c r="Z40" s="1703"/>
      <c r="AA40" s="1766" t="s">
        <v>417</v>
      </c>
      <c r="AB40" s="1767"/>
      <c r="AC40" s="1768"/>
      <c r="AD40" s="1769"/>
      <c r="AE40" s="1769"/>
      <c r="AF40" s="1770"/>
      <c r="AG40" s="1771"/>
      <c r="AH40" s="1749"/>
      <c r="AI40" s="1749"/>
      <c r="AJ40" s="1747"/>
      <c r="AK40" s="1749"/>
    </row>
    <row r="41" spans="1:37" ht="12.75" customHeight="1">
      <c r="A41" s="222"/>
      <c r="B41" s="2015" t="str">
        <f>'Chemical List'!B41</f>
        <v>Dibenz(a,h)anthracene</v>
      </c>
      <c r="C41" s="2029"/>
      <c r="D41" s="2029"/>
      <c r="E41" s="222"/>
      <c r="F41" s="222"/>
      <c r="G41" s="346">
        <v>0.05</v>
      </c>
      <c r="H41" s="1123">
        <f>'Soil-to-GroundWater'!C44</f>
        <v>5.9161095663491693E-05</v>
      </c>
      <c r="I41" s="1124"/>
      <c r="J41" s="1124"/>
      <c r="K41" s="1124"/>
      <c r="L41" s="1124"/>
      <c r="M41" s="1124"/>
      <c r="N41" s="1124"/>
      <c r="O41" s="1091"/>
      <c r="P41" s="222"/>
      <c r="Q41" s="1161"/>
      <c r="R41" s="1161"/>
      <c r="S41" s="1161"/>
      <c r="T41" s="1161"/>
      <c r="U41" s="1162"/>
      <c r="V41" s="1162"/>
      <c r="W41" s="1044"/>
      <c r="X41" s="1044"/>
      <c r="Y41" s="1158"/>
      <c r="Z41" s="1703"/>
      <c r="AA41" s="1726" t="s">
        <v>455</v>
      </c>
      <c r="AB41" s="1727"/>
      <c r="AC41" s="1772"/>
      <c r="AD41" s="1729"/>
      <c r="AE41" s="1729"/>
      <c r="AF41" s="1730"/>
      <c r="AG41" s="1773"/>
      <c r="AH41" s="1749"/>
      <c r="AI41" s="1747"/>
      <c r="AJ41" s="1747"/>
      <c r="AK41" s="1749"/>
    </row>
    <row r="42" spans="1:37" ht="12.75" customHeight="1" thickBot="1">
      <c r="A42" s="222"/>
      <c r="B42" s="2017" t="str">
        <f>'Chemical List'!B42</f>
        <v>Indeno(1,2,3-cd)pyrene</v>
      </c>
      <c r="C42" s="2031"/>
      <c r="D42" s="2031"/>
      <c r="E42" s="1137"/>
      <c r="F42" s="1137"/>
      <c r="G42" s="345">
        <v>1</v>
      </c>
      <c r="H42" s="1138">
        <f>'Soil-to-GroundWater'!C45</f>
        <v>0.0011832219132698338</v>
      </c>
      <c r="I42" s="1167"/>
      <c r="J42" s="1167"/>
      <c r="K42" s="1167"/>
      <c r="L42" s="1167"/>
      <c r="M42" s="1167"/>
      <c r="N42" s="1167"/>
      <c r="O42" s="1091"/>
      <c r="P42" s="222"/>
      <c r="Q42" s="222"/>
      <c r="R42" s="222"/>
      <c r="S42" s="222"/>
      <c r="T42" s="222"/>
      <c r="U42" s="222"/>
      <c r="V42" s="222"/>
      <c r="W42" s="1044"/>
      <c r="X42" s="1044"/>
      <c r="Y42" s="1158"/>
      <c r="Z42" s="1703"/>
      <c r="AA42" s="1726" t="s">
        <v>456</v>
      </c>
      <c r="AB42" s="1727"/>
      <c r="AC42" s="1772"/>
      <c r="AD42" s="1729"/>
      <c r="AE42" s="1729"/>
      <c r="AF42" s="1730"/>
      <c r="AG42" s="1773"/>
      <c r="AH42" s="1749"/>
      <c r="AI42" s="1774"/>
      <c r="AJ42" s="1747"/>
      <c r="AK42" s="1749"/>
    </row>
    <row r="43" spans="1:37" ht="15.75" customHeight="1" thickBot="1">
      <c r="A43" s="222"/>
      <c r="B43" s="1531" t="s">
        <v>20</v>
      </c>
      <c r="C43" s="1532"/>
      <c r="D43" s="1532"/>
      <c r="E43" s="1090"/>
      <c r="F43" s="1090"/>
      <c r="G43" s="1159">
        <f>SUM(G13:G42)</f>
        <v>845.15</v>
      </c>
      <c r="H43" s="1160">
        <f>SUM(H13:H42)</f>
        <v>0.9999999999999999</v>
      </c>
      <c r="I43" s="1091"/>
      <c r="J43" s="1091"/>
      <c r="K43" s="1091"/>
      <c r="L43" s="1091"/>
      <c r="M43" s="1091"/>
      <c r="N43" s="1091"/>
      <c r="O43" s="1091"/>
      <c r="P43" s="222"/>
      <c r="Q43" s="222"/>
      <c r="R43" s="222"/>
      <c r="S43" s="222"/>
      <c r="T43" s="222"/>
      <c r="U43" s="222"/>
      <c r="V43" s="222"/>
      <c r="W43" s="1162"/>
      <c r="X43" s="1162"/>
      <c r="Y43" s="1170"/>
      <c r="Z43" s="1703"/>
      <c r="AA43" s="1726" t="s">
        <v>633</v>
      </c>
      <c r="AB43" s="1727"/>
      <c r="AC43" s="1772"/>
      <c r="AD43" s="1729"/>
      <c r="AE43" s="1729"/>
      <c r="AF43" s="1730"/>
      <c r="AG43" s="1773"/>
      <c r="AH43" s="1749"/>
      <c r="AI43" s="1774"/>
      <c r="AJ43" s="1747"/>
      <c r="AK43" s="1749"/>
    </row>
    <row r="44" spans="1:37" ht="12.75" customHeight="1" thickTop="1">
      <c r="A44" s="222"/>
      <c r="B44" s="1163"/>
      <c r="C44" s="1164"/>
      <c r="D44" s="1164"/>
      <c r="E44" s="1164"/>
      <c r="F44" s="1164"/>
      <c r="G44" s="1165"/>
      <c r="H44" s="1166"/>
      <c r="I44" s="1091"/>
      <c r="J44" s="1091"/>
      <c r="K44" s="1091"/>
      <c r="L44" s="1091"/>
      <c r="M44" s="1091"/>
      <c r="N44" s="1091"/>
      <c r="O44" s="1091"/>
      <c r="P44" s="222"/>
      <c r="Q44" s="222"/>
      <c r="R44" s="222"/>
      <c r="S44" s="222"/>
      <c r="T44" s="222"/>
      <c r="U44" s="222"/>
      <c r="V44" s="222"/>
      <c r="W44" s="222"/>
      <c r="X44" s="222"/>
      <c r="Y44" s="518"/>
      <c r="Z44" s="1703"/>
      <c r="AA44" s="1775" t="s">
        <v>504</v>
      </c>
      <c r="AB44" s="1776"/>
      <c r="AC44" s="1768"/>
      <c r="AD44" s="1769"/>
      <c r="AE44" s="1769"/>
      <c r="AF44" s="1770"/>
      <c r="AG44" s="1771"/>
      <c r="AH44" s="1749"/>
      <c r="AI44" s="1748"/>
      <c r="AJ44" s="1747"/>
      <c r="AK44" s="1749"/>
    </row>
    <row r="45" spans="1:37" ht="16.5" customHeight="1" thickBot="1">
      <c r="A45" s="222"/>
      <c r="B45" s="1678" t="s">
        <v>479</v>
      </c>
      <c r="C45" s="222"/>
      <c r="D45" s="222"/>
      <c r="E45" s="222"/>
      <c r="F45" s="222"/>
      <c r="G45" s="222"/>
      <c r="H45" s="1120"/>
      <c r="I45" s="1091"/>
      <c r="J45" s="1091"/>
      <c r="K45" s="1091"/>
      <c r="L45" s="1091"/>
      <c r="M45" s="1091"/>
      <c r="N45" s="1091"/>
      <c r="O45" s="1091"/>
      <c r="P45" s="222"/>
      <c r="Q45" s="222"/>
      <c r="R45" s="222"/>
      <c r="S45" s="222"/>
      <c r="T45" s="222"/>
      <c r="U45" s="222"/>
      <c r="V45" s="222"/>
      <c r="W45" s="222"/>
      <c r="X45" s="222"/>
      <c r="Y45" s="518"/>
      <c r="Z45" s="1703"/>
      <c r="AA45" s="1777" t="s">
        <v>505</v>
      </c>
      <c r="AB45" s="1778"/>
      <c r="AC45" s="1779"/>
      <c r="AD45" s="1780"/>
      <c r="AE45" s="1780"/>
      <c r="AF45" s="1781"/>
      <c r="AG45" s="1782"/>
      <c r="AH45" s="1749"/>
      <c r="AI45" s="1748"/>
      <c r="AJ45" s="1747"/>
      <c r="AK45" s="1749"/>
    </row>
    <row r="46" spans="1:37" ht="12.75" customHeight="1">
      <c r="A46" s="222"/>
      <c r="B46" s="1168" t="s">
        <v>544</v>
      </c>
      <c r="C46" s="222"/>
      <c r="D46" s="222"/>
      <c r="E46" s="222"/>
      <c r="F46" s="222"/>
      <c r="G46" s="347">
        <v>0.43</v>
      </c>
      <c r="H46" s="1169" t="s">
        <v>61</v>
      </c>
      <c r="I46" s="1091"/>
      <c r="J46" s="1091"/>
      <c r="K46" s="1091"/>
      <c r="L46" s="1091"/>
      <c r="M46" s="1091"/>
      <c r="N46" s="1091"/>
      <c r="O46" s="1091"/>
      <c r="P46" s="222"/>
      <c r="Q46" s="222"/>
      <c r="R46" s="222"/>
      <c r="S46" s="222"/>
      <c r="T46" s="222"/>
      <c r="U46" s="222"/>
      <c r="V46" s="222"/>
      <c r="W46" s="222"/>
      <c r="X46" s="222"/>
      <c r="Y46" s="518"/>
      <c r="Z46" s="1703"/>
      <c r="AA46" s="1783"/>
      <c r="AB46" s="1784"/>
      <c r="AC46" s="1784"/>
      <c r="AD46" s="1784"/>
      <c r="AE46" s="1784"/>
      <c r="AF46" s="1784"/>
      <c r="AG46" s="1784"/>
      <c r="AH46" s="1749"/>
      <c r="AI46" s="1748"/>
      <c r="AJ46" s="1747"/>
      <c r="AK46" s="1749"/>
    </row>
    <row r="47" spans="1:37" ht="12.75" customHeight="1" thickBot="1">
      <c r="A47" s="222"/>
      <c r="B47" s="1168" t="s">
        <v>605</v>
      </c>
      <c r="C47" s="222"/>
      <c r="D47" s="222"/>
      <c r="E47" s="222"/>
      <c r="F47" s="222"/>
      <c r="G47" s="347">
        <v>0.3</v>
      </c>
      <c r="H47" s="1169" t="s">
        <v>61</v>
      </c>
      <c r="I47" s="1091"/>
      <c r="J47" s="1091"/>
      <c r="K47" s="1091"/>
      <c r="L47" s="1091"/>
      <c r="M47" s="1091"/>
      <c r="N47" s="1091"/>
      <c r="O47" s="1091"/>
      <c r="P47" s="222"/>
      <c r="Q47" s="222"/>
      <c r="R47" s="222"/>
      <c r="S47" s="222"/>
      <c r="T47" s="222"/>
      <c r="U47" s="222"/>
      <c r="V47" s="222"/>
      <c r="W47" s="222"/>
      <c r="X47" s="222"/>
      <c r="Y47" s="518"/>
      <c r="Z47" s="1703"/>
      <c r="AA47" s="1785" t="s">
        <v>645</v>
      </c>
      <c r="AB47" s="1786"/>
      <c r="AC47" s="1787"/>
      <c r="AD47" s="1788"/>
      <c r="AE47" s="1788"/>
      <c r="AF47" s="1788"/>
      <c r="AG47" s="1788"/>
      <c r="AH47" s="1789"/>
      <c r="AI47" s="1748"/>
      <c r="AJ47" s="1748"/>
      <c r="AK47" s="1749"/>
    </row>
    <row r="48" spans="1:37" ht="12.75" customHeight="1">
      <c r="A48" s="222"/>
      <c r="B48" s="1168" t="s">
        <v>606</v>
      </c>
      <c r="C48" s="222"/>
      <c r="D48" s="222"/>
      <c r="E48" s="222"/>
      <c r="F48" s="222"/>
      <c r="G48" s="196">
        <f>porosity-water_content</f>
        <v>0.13</v>
      </c>
      <c r="H48" s="1169" t="s">
        <v>61</v>
      </c>
      <c r="I48" s="1091"/>
      <c r="J48" s="1091"/>
      <c r="K48" s="1091"/>
      <c r="L48" s="1091"/>
      <c r="M48" s="1091"/>
      <c r="N48" s="1091"/>
      <c r="O48" s="1091"/>
      <c r="P48" s="222"/>
      <c r="Q48" s="222"/>
      <c r="R48" s="222"/>
      <c r="S48" s="222"/>
      <c r="T48" s="222"/>
      <c r="U48" s="222"/>
      <c r="V48" s="222"/>
      <c r="W48" s="222"/>
      <c r="X48" s="222"/>
      <c r="Y48" s="518"/>
      <c r="Z48" s="1703"/>
      <c r="AA48" s="1974" t="s">
        <v>500</v>
      </c>
      <c r="AB48" s="1975"/>
      <c r="AC48" s="2002" t="s">
        <v>512</v>
      </c>
      <c r="AD48" s="2003"/>
      <c r="AE48" s="2004"/>
      <c r="AF48" s="2051" t="s">
        <v>492</v>
      </c>
      <c r="AG48" s="1748"/>
      <c r="AH48" s="1748"/>
      <c r="AI48" s="2053"/>
      <c r="AJ48" s="1748"/>
      <c r="AK48" s="1749"/>
    </row>
    <row r="49" spans="1:37" ht="12.75" customHeight="1" thickBot="1">
      <c r="A49" s="222"/>
      <c r="B49" s="1168" t="s">
        <v>607</v>
      </c>
      <c r="C49" s="222"/>
      <c r="D49" s="222"/>
      <c r="E49" s="222"/>
      <c r="F49" s="222"/>
      <c r="G49" s="347">
        <v>1.5</v>
      </c>
      <c r="H49" s="1169" t="s">
        <v>475</v>
      </c>
      <c r="I49" s="1091"/>
      <c r="J49" s="1091"/>
      <c r="K49" s="1091"/>
      <c r="L49" s="1091"/>
      <c r="M49" s="1091"/>
      <c r="N49" s="1091"/>
      <c r="O49" s="1091"/>
      <c r="P49" s="222"/>
      <c r="Q49" s="222"/>
      <c r="R49" s="222"/>
      <c r="S49" s="222"/>
      <c r="T49" s="222"/>
      <c r="U49" s="222"/>
      <c r="V49" s="222"/>
      <c r="W49" s="222"/>
      <c r="X49" s="222"/>
      <c r="Y49" s="518"/>
      <c r="Z49" s="1703"/>
      <c r="AA49" s="1976"/>
      <c r="AB49" s="1977"/>
      <c r="AC49" s="1790" t="s">
        <v>578</v>
      </c>
      <c r="AD49" s="1791" t="s">
        <v>530</v>
      </c>
      <c r="AE49" s="1792" t="s">
        <v>529</v>
      </c>
      <c r="AF49" s="2052"/>
      <c r="AG49" s="1748"/>
      <c r="AH49" s="1748"/>
      <c r="AI49" s="2054"/>
      <c r="AJ49" s="1748"/>
      <c r="AK49" s="1749"/>
    </row>
    <row r="50" spans="1:37" ht="12.75" customHeight="1" thickBot="1" thickTop="1">
      <c r="A50" s="222"/>
      <c r="B50" s="1168" t="s">
        <v>546</v>
      </c>
      <c r="C50" s="222"/>
      <c r="D50" s="222"/>
      <c r="E50" s="222"/>
      <c r="F50" s="222"/>
      <c r="G50" s="347">
        <v>0.001</v>
      </c>
      <c r="H50" s="1169" t="s">
        <v>61</v>
      </c>
      <c r="I50" s="1091"/>
      <c r="J50" s="1091"/>
      <c r="K50" s="1091"/>
      <c r="L50" s="1091"/>
      <c r="M50" s="1091"/>
      <c r="N50" s="1091"/>
      <c r="O50" s="1091"/>
      <c r="P50" s="222"/>
      <c r="Q50" s="222"/>
      <c r="R50" s="222"/>
      <c r="S50" s="222"/>
      <c r="T50" s="222"/>
      <c r="U50" s="222"/>
      <c r="V50" s="222"/>
      <c r="W50" s="222"/>
      <c r="X50" s="222"/>
      <c r="Y50" s="518"/>
      <c r="Z50" s="1703"/>
      <c r="AA50" s="1793" t="str">
        <f>IF(GW_target_CUL=0,"NA","Target TPH GW Conc = "&amp;GW_target_CUL&amp;" ug/L")</f>
        <v>Target TPH GW Conc = 500 ug/L</v>
      </c>
      <c r="AB50" s="1794"/>
      <c r="AC50" s="1795"/>
      <c r="AD50" s="1795"/>
      <c r="AE50" s="1796"/>
      <c r="AF50" s="1797"/>
      <c r="AG50" s="1748"/>
      <c r="AH50" s="1748"/>
      <c r="AI50" s="1788"/>
      <c r="AJ50" s="1748"/>
      <c r="AK50" s="1749"/>
    </row>
    <row r="51" spans="1:37" ht="16.5" customHeight="1" thickBot="1">
      <c r="A51" s="222"/>
      <c r="B51" s="1171" t="s">
        <v>547</v>
      </c>
      <c r="C51" s="944"/>
      <c r="D51" s="944"/>
      <c r="E51" s="944"/>
      <c r="F51" s="944"/>
      <c r="G51" s="348">
        <v>20</v>
      </c>
      <c r="H51" s="1172" t="s">
        <v>61</v>
      </c>
      <c r="I51" s="1091"/>
      <c r="J51" s="1091"/>
      <c r="K51" s="1091"/>
      <c r="L51" s="1091"/>
      <c r="M51" s="1091"/>
      <c r="N51" s="1091"/>
      <c r="O51" s="1091"/>
      <c r="P51" s="222"/>
      <c r="Q51" s="222"/>
      <c r="R51" s="222"/>
      <c r="S51" s="222"/>
      <c r="T51" s="222"/>
      <c r="U51" s="222"/>
      <c r="V51" s="222"/>
      <c r="W51" s="222"/>
      <c r="X51" s="222"/>
      <c r="Y51" s="518"/>
      <c r="Z51" s="1703"/>
      <c r="AA51" s="1785"/>
      <c r="AB51" s="1786"/>
      <c r="AC51" s="1788"/>
      <c r="AD51" s="1788"/>
      <c r="AE51" s="1788"/>
      <c r="AF51" s="1787"/>
      <c r="AG51" s="1748"/>
      <c r="AH51" s="1748"/>
      <c r="AI51" s="1788"/>
      <c r="AJ51" s="1748"/>
      <c r="AK51" s="1749"/>
    </row>
    <row r="52" spans="1:37" ht="12.75" customHeight="1" thickTop="1">
      <c r="A52" s="222"/>
      <c r="B52" s="1813" t="s">
        <v>635</v>
      </c>
      <c r="C52" s="1101"/>
      <c r="D52" s="1101"/>
      <c r="E52" s="1101"/>
      <c r="F52" s="1101"/>
      <c r="G52" s="1087"/>
      <c r="H52" s="1173"/>
      <c r="I52" s="1091"/>
      <c r="J52" s="1091"/>
      <c r="K52" s="1091"/>
      <c r="L52" s="1091"/>
      <c r="M52" s="1091"/>
      <c r="N52" s="1091"/>
      <c r="O52" s="1091"/>
      <c r="P52" s="222"/>
      <c r="Q52" s="222"/>
      <c r="R52" s="222"/>
      <c r="S52" s="222"/>
      <c r="T52" s="222"/>
      <c r="U52" s="222"/>
      <c r="V52" s="222"/>
      <c r="W52" s="222"/>
      <c r="X52" s="222"/>
      <c r="Y52" s="518"/>
      <c r="Z52" s="1703"/>
      <c r="AA52" s="1785"/>
      <c r="AB52" s="1786"/>
      <c r="AC52" s="1788"/>
      <c r="AD52" s="1788"/>
      <c r="AE52" s="1788"/>
      <c r="AF52" s="1787"/>
      <c r="AG52" s="1748"/>
      <c r="AH52" s="1748"/>
      <c r="AI52" s="1788"/>
      <c r="AJ52" s="1748"/>
      <c r="AK52" s="1749"/>
    </row>
    <row r="53" spans="1:37" ht="12.75">
      <c r="A53" s="222"/>
      <c r="B53" s="1168" t="s">
        <v>644</v>
      </c>
      <c r="C53" s="1121"/>
      <c r="D53" s="1111"/>
      <c r="E53" s="679"/>
      <c r="F53" s="222"/>
      <c r="G53" s="222"/>
      <c r="H53" s="1169"/>
      <c r="I53" s="1091"/>
      <c r="J53" s="1091"/>
      <c r="K53" s="1091"/>
      <c r="L53" s="1091"/>
      <c r="M53" s="1091"/>
      <c r="N53" s="1091"/>
      <c r="O53" s="1091"/>
      <c r="P53" s="222"/>
      <c r="Q53" s="222"/>
      <c r="R53" s="222"/>
      <c r="S53" s="222"/>
      <c r="T53" s="222"/>
      <c r="U53" s="222"/>
      <c r="V53" s="222"/>
      <c r="W53" s="222"/>
      <c r="X53" s="222"/>
      <c r="Y53" s="518"/>
      <c r="Z53" s="1703"/>
      <c r="AA53" s="1785"/>
      <c r="AB53" s="1786"/>
      <c r="AC53" s="1788"/>
      <c r="AD53" s="1788"/>
      <c r="AE53" s="1788"/>
      <c r="AF53" s="1787"/>
      <c r="AG53" s="1748"/>
      <c r="AH53" s="1748"/>
      <c r="AI53" s="1788"/>
      <c r="AJ53" s="1748"/>
      <c r="AK53" s="1749"/>
    </row>
    <row r="54" spans="1:37" ht="12.75">
      <c r="A54" s="222"/>
      <c r="B54" s="2043" t="s">
        <v>636</v>
      </c>
      <c r="C54" s="2044"/>
      <c r="D54" s="2044"/>
      <c r="E54" s="2044"/>
      <c r="F54" s="222"/>
      <c r="G54" s="1174">
        <v>500</v>
      </c>
      <c r="H54" s="1169" t="s">
        <v>406</v>
      </c>
      <c r="I54" s="1091"/>
      <c r="J54" s="1091"/>
      <c r="K54" s="1091"/>
      <c r="L54" s="1091"/>
      <c r="M54" s="1091"/>
      <c r="N54" s="1091"/>
      <c r="O54" s="1091"/>
      <c r="P54" s="222"/>
      <c r="Q54" s="222"/>
      <c r="R54" s="222"/>
      <c r="S54" s="222"/>
      <c r="T54" s="222"/>
      <c r="U54" s="222"/>
      <c r="V54" s="222"/>
      <c r="W54" s="222"/>
      <c r="X54" s="222"/>
      <c r="Y54" s="518"/>
      <c r="Z54" s="1703"/>
      <c r="AA54" s="1785"/>
      <c r="AB54" s="1786"/>
      <c r="AC54" s="1788"/>
      <c r="AD54" s="1788"/>
      <c r="AE54" s="1788"/>
      <c r="AF54" s="1787"/>
      <c r="AG54" s="1748"/>
      <c r="AH54" s="1748"/>
      <c r="AI54" s="1788"/>
      <c r="AJ54" s="1748"/>
      <c r="AK54" s="1749"/>
    </row>
    <row r="55" spans="1:37" ht="13.5" thickBot="1">
      <c r="A55" s="222"/>
      <c r="B55" s="2045"/>
      <c r="C55" s="2046"/>
      <c r="D55" s="2046"/>
      <c r="E55" s="2046"/>
      <c r="F55" s="944"/>
      <c r="G55" s="944"/>
      <c r="H55" s="1175"/>
      <c r="I55" s="1091"/>
      <c r="J55" s="1091"/>
      <c r="K55" s="1091"/>
      <c r="L55" s="1091"/>
      <c r="M55" s="1091"/>
      <c r="N55" s="1091"/>
      <c r="O55" s="1091"/>
      <c r="P55" s="222"/>
      <c r="Q55" s="222"/>
      <c r="R55" s="222"/>
      <c r="S55" s="222"/>
      <c r="T55" s="222"/>
      <c r="U55" s="222"/>
      <c r="V55" s="222"/>
      <c r="W55" s="222"/>
      <c r="X55" s="222"/>
      <c r="Y55" s="518"/>
      <c r="Z55" s="1703"/>
      <c r="AA55" s="1785"/>
      <c r="AB55" s="1786"/>
      <c r="AC55" s="1788"/>
      <c r="AD55" s="1788"/>
      <c r="AE55" s="1788"/>
      <c r="AF55" s="1787"/>
      <c r="AG55" s="1748"/>
      <c r="AH55" s="1748"/>
      <c r="AI55" s="1788"/>
      <c r="AJ55" s="1748"/>
      <c r="AK55" s="1749"/>
    </row>
    <row r="56" spans="1:37" ht="13.5" hidden="1" thickTop="1">
      <c r="A56" s="229"/>
      <c r="B56" s="229"/>
      <c r="C56" s="229"/>
      <c r="D56" s="229"/>
      <c r="E56" s="229"/>
      <c r="F56" s="229"/>
      <c r="G56" s="229"/>
      <c r="H56" s="229"/>
      <c r="I56" s="1181"/>
      <c r="J56" s="1181"/>
      <c r="K56" s="1181"/>
      <c r="L56" s="1181"/>
      <c r="M56" s="1181"/>
      <c r="N56" s="1181"/>
      <c r="O56" s="1181"/>
      <c r="P56" s="229"/>
      <c r="Q56" s="229"/>
      <c r="R56" s="229"/>
      <c r="S56" s="229"/>
      <c r="T56" s="229"/>
      <c r="U56" s="229"/>
      <c r="V56" s="229"/>
      <c r="W56" s="229"/>
      <c r="X56" s="229"/>
      <c r="Y56" s="229"/>
      <c r="Z56" s="1808"/>
      <c r="AA56" s="240"/>
      <c r="AB56" s="326"/>
      <c r="AC56" s="1602"/>
      <c r="AD56" s="1602"/>
      <c r="AE56" s="1602"/>
      <c r="AF56" s="1809"/>
      <c r="AG56" s="680"/>
      <c r="AH56" s="680"/>
      <c r="AI56" s="1602"/>
      <c r="AJ56" s="680"/>
      <c r="AK56" s="1810"/>
    </row>
    <row r="57" spans="1:37" ht="12.75" hidden="1">
      <c r="A57" s="229"/>
      <c r="B57" s="229"/>
      <c r="C57" s="229"/>
      <c r="D57" s="229"/>
      <c r="E57" s="229"/>
      <c r="F57" s="229"/>
      <c r="G57" s="229"/>
      <c r="H57" s="229"/>
      <c r="I57" s="1181"/>
      <c r="J57" s="1181"/>
      <c r="K57" s="1181"/>
      <c r="L57" s="1181"/>
      <c r="M57" s="1181"/>
      <c r="N57" s="1181"/>
      <c r="O57" s="1181"/>
      <c r="P57" s="229"/>
      <c r="Q57" s="229"/>
      <c r="R57" s="229"/>
      <c r="S57" s="229"/>
      <c r="T57" s="229"/>
      <c r="U57" s="229"/>
      <c r="V57" s="229"/>
      <c r="W57" s="229"/>
      <c r="X57" s="229"/>
      <c r="Y57" s="229"/>
      <c r="Z57" s="1808"/>
      <c r="AA57" s="240"/>
      <c r="AB57" s="326"/>
      <c r="AC57" s="1809"/>
      <c r="AD57" s="1602"/>
      <c r="AE57" s="1602"/>
      <c r="AF57" s="1602"/>
      <c r="AG57" s="1602"/>
      <c r="AH57" s="1811"/>
      <c r="AI57" s="680"/>
      <c r="AJ57" s="680"/>
      <c r="AK57" s="1810"/>
    </row>
    <row r="58" spans="1:36" ht="12.75" hidden="1">
      <c r="A58" s="229"/>
      <c r="B58" s="229"/>
      <c r="C58" s="229"/>
      <c r="D58" s="229"/>
      <c r="E58" s="229"/>
      <c r="F58" s="229"/>
      <c r="G58" s="229"/>
      <c r="H58" s="229"/>
      <c r="I58" s="1181"/>
      <c r="J58" s="1181"/>
      <c r="K58" s="1181"/>
      <c r="L58" s="1181"/>
      <c r="M58" s="1181"/>
      <c r="N58" s="1181"/>
      <c r="O58" s="1181"/>
      <c r="P58" s="229"/>
      <c r="Q58" s="229"/>
      <c r="R58" s="229"/>
      <c r="S58" s="229"/>
      <c r="T58" s="229"/>
      <c r="U58" s="229"/>
      <c r="V58" s="229"/>
      <c r="W58" s="229"/>
      <c r="X58" s="229"/>
      <c r="Y58" s="229"/>
      <c r="Z58" s="328"/>
      <c r="AA58" s="8"/>
      <c r="AH58" s="329"/>
      <c r="AI58" s="328"/>
      <c r="AJ58" s="328"/>
    </row>
    <row r="59" spans="1:36" ht="13.5" hidden="1" thickBot="1">
      <c r="A59" s="229"/>
      <c r="B59" s="229"/>
      <c r="C59" s="229"/>
      <c r="D59" s="229"/>
      <c r="E59" s="229"/>
      <c r="F59" s="229"/>
      <c r="G59" s="229"/>
      <c r="H59" s="229"/>
      <c r="I59" s="1181"/>
      <c r="J59" s="1181"/>
      <c r="K59" s="1181"/>
      <c r="L59" s="1181"/>
      <c r="M59" s="1181"/>
      <c r="N59" s="1181"/>
      <c r="O59" s="1181"/>
      <c r="P59" s="229"/>
      <c r="Q59" s="229"/>
      <c r="R59" s="229"/>
      <c r="S59" s="229"/>
      <c r="T59" s="229"/>
      <c r="U59" s="229"/>
      <c r="V59" s="229"/>
      <c r="W59" s="229"/>
      <c r="X59" s="229"/>
      <c r="Z59" s="8"/>
      <c r="AA59" s="8"/>
      <c r="AB59" s="8"/>
      <c r="AC59" s="313"/>
      <c r="AD59" s="135"/>
      <c r="AE59" s="135"/>
      <c r="AF59" s="135"/>
      <c r="AG59" s="135"/>
      <c r="AH59" s="135"/>
      <c r="AI59" s="8"/>
      <c r="AJ59" s="8"/>
    </row>
    <row r="60" spans="1:36" ht="13.5" hidden="1" thickBot="1">
      <c r="A60" s="229"/>
      <c r="B60" s="229"/>
      <c r="C60" s="229"/>
      <c r="D60" s="229"/>
      <c r="E60" s="229"/>
      <c r="F60" s="229"/>
      <c r="G60" s="229"/>
      <c r="H60" s="229"/>
      <c r="I60" s="1181"/>
      <c r="J60" s="1181"/>
      <c r="K60" s="1181"/>
      <c r="L60" s="1181"/>
      <c r="M60" s="1181"/>
      <c r="N60" s="1181"/>
      <c r="O60" s="1181"/>
      <c r="P60" s="229"/>
      <c r="Q60" s="229"/>
      <c r="R60" s="229"/>
      <c r="S60" s="229"/>
      <c r="T60" s="229"/>
      <c r="U60" s="229"/>
      <c r="V60" s="229"/>
      <c r="W60" s="229"/>
      <c r="X60" s="229"/>
      <c r="Z60" s="8"/>
      <c r="AA60" s="8"/>
      <c r="AB60" s="8"/>
      <c r="AC60" s="313"/>
      <c r="AD60" s="135"/>
      <c r="AE60" s="135"/>
      <c r="AF60" s="135"/>
      <c r="AG60" s="135"/>
      <c r="AH60" s="385" t="s">
        <v>450</v>
      </c>
      <c r="AI60" s="376">
        <f>IF(dc_ind_hi_result="no","",dc_ind_hi)</f>
      </c>
      <c r="AJ60" s="377" t="str">
        <f>AA25</f>
        <v>HI =1</v>
      </c>
    </row>
    <row r="61" spans="1:36" ht="13.5" hidden="1" thickBot="1">
      <c r="A61" s="229"/>
      <c r="B61" s="229"/>
      <c r="C61" s="229"/>
      <c r="D61" s="229"/>
      <c r="E61" s="229"/>
      <c r="F61" s="229"/>
      <c r="G61" s="229"/>
      <c r="H61" s="229"/>
      <c r="I61" s="1181"/>
      <c r="J61" s="1181"/>
      <c r="K61" s="1181"/>
      <c r="L61" s="1181"/>
      <c r="M61" s="1181"/>
      <c r="N61" s="1181"/>
      <c r="O61" s="1181"/>
      <c r="P61" s="229"/>
      <c r="Q61" s="229"/>
      <c r="R61" s="229"/>
      <c r="S61" s="229"/>
      <c r="T61" s="229"/>
      <c r="U61" s="229"/>
      <c r="V61" s="229"/>
      <c r="W61" s="229"/>
      <c r="X61" s="229"/>
      <c r="Z61" s="8"/>
      <c r="AA61" s="382" t="s">
        <v>449</v>
      </c>
      <c r="AB61" s="383"/>
      <c r="AC61" s="383"/>
      <c r="AD61" s="383"/>
      <c r="AE61" s="382" t="s">
        <v>448</v>
      </c>
      <c r="AF61" s="384"/>
      <c r="AG61" s="135"/>
      <c r="AH61" s="387"/>
      <c r="AI61" s="52">
        <f>IF(dc_ind_5_result="no","",dc_ind_5)</f>
        <v>12377.488835267612</v>
      </c>
      <c r="AJ61" s="381" t="str">
        <f>AA26</f>
        <v>Total Risk=1E-5</v>
      </c>
    </row>
    <row r="62" spans="1:36" ht="12.75" hidden="1">
      <c r="A62" s="229"/>
      <c r="B62" s="229"/>
      <c r="C62" s="229"/>
      <c r="D62" s="229"/>
      <c r="E62" s="229"/>
      <c r="F62" s="229"/>
      <c r="G62" s="229"/>
      <c r="H62" s="229"/>
      <c r="I62" s="1181"/>
      <c r="J62" s="1181"/>
      <c r="K62" s="1181"/>
      <c r="L62" s="1181"/>
      <c r="M62" s="1181"/>
      <c r="N62" s="1181"/>
      <c r="O62" s="1181"/>
      <c r="P62" s="229"/>
      <c r="Q62" s="229"/>
      <c r="R62" s="229"/>
      <c r="S62" s="229"/>
      <c r="T62" s="229"/>
      <c r="U62" s="229"/>
      <c r="V62" s="229"/>
      <c r="W62" s="229"/>
      <c r="X62" s="229"/>
      <c r="Z62" s="8"/>
      <c r="AA62" s="385">
        <f>IF(DC_HI_Result="no","",DC_HI)</f>
      </c>
      <c r="AB62" s="388"/>
      <c r="AC62" s="376" t="str">
        <f aca="true" t="shared" si="0" ref="AC62:AC67">AA25</f>
        <v>HI =1</v>
      </c>
      <c r="AD62" s="377"/>
      <c r="AE62" s="375" t="s">
        <v>444</v>
      </c>
      <c r="AF62" s="377">
        <f>dc_HI_sum</f>
        <v>0.09464519046480141</v>
      </c>
      <c r="AG62" s="135"/>
      <c r="AH62" s="386"/>
      <c r="AI62" s="8"/>
      <c r="AJ62" s="378"/>
    </row>
    <row r="63" spans="26:36" ht="12.75" hidden="1">
      <c r="Z63" s="8"/>
      <c r="AA63" s="386">
        <f>IF(DC_5_result="no","",DC_5)</f>
      </c>
      <c r="AB63" s="134"/>
      <c r="AC63" s="8" t="str">
        <f t="shared" si="0"/>
        <v>Total Risk=1E-5</v>
      </c>
      <c r="AD63" s="378"/>
      <c r="AE63" s="25" t="s">
        <v>445</v>
      </c>
      <c r="AF63" s="378">
        <f>dc_risk_sum</f>
        <v>1.0006008990059133E-06</v>
      </c>
      <c r="AG63" s="135"/>
      <c r="AH63" s="386"/>
      <c r="AI63" s="8"/>
      <c r="AJ63" s="378"/>
    </row>
    <row r="64" spans="26:36" ht="12.75" hidden="1">
      <c r="Z64" s="8"/>
      <c r="AA64" s="386">
        <f>IF(DC_benzene_result="no","",DC_Benzene)</f>
      </c>
      <c r="AB64" s="134"/>
      <c r="AC64" s="8" t="str">
        <f t="shared" si="0"/>
        <v>Risk of Benzene= 1E-6</v>
      </c>
      <c r="AD64" s="378"/>
      <c r="AE64" s="25" t="s">
        <v>446</v>
      </c>
      <c r="AF64" s="378">
        <f>pah_sum</f>
        <v>1.0000000000002365E-06</v>
      </c>
      <c r="AG64" s="135"/>
      <c r="AH64" s="386"/>
      <c r="AI64" s="8"/>
      <c r="AJ64" s="378"/>
    </row>
    <row r="65" spans="2:36" ht="12.75" hidden="1">
      <c r="B65" s="8" t="s">
        <v>160</v>
      </c>
      <c r="G65" s="8">
        <v>0</v>
      </c>
      <c r="Z65" s="8"/>
      <c r="AA65" s="386">
        <f>IF(dcpah_result="no","",pah1)</f>
        <v>307.4317806912004</v>
      </c>
      <c r="AB65" s="134"/>
      <c r="AC65" s="8" t="str">
        <f t="shared" si="0"/>
        <v>Risk of cPAHs mixture= 1E-6</v>
      </c>
      <c r="AD65" s="378"/>
      <c r="AE65" s="1681" t="s">
        <v>447</v>
      </c>
      <c r="AF65" s="1682">
        <f>dc_benz_resut</f>
        <v>6.008990056768635E-10</v>
      </c>
      <c r="AG65" s="135"/>
      <c r="AH65" s="386"/>
      <c r="AI65" s="349" t="s">
        <v>400</v>
      </c>
      <c r="AJ65" s="378">
        <f>MAX(AI60:AI64)</f>
        <v>12377.488835267612</v>
      </c>
    </row>
    <row r="66" spans="2:36" ht="12.75" hidden="1">
      <c r="B66" s="8" t="s">
        <v>161</v>
      </c>
      <c r="G66" s="8">
        <v>2.5</v>
      </c>
      <c r="Z66" s="8"/>
      <c r="AA66" s="386" t="str">
        <f>IF(dc_EDB="no","",pah2)</f>
        <v>NA</v>
      </c>
      <c r="AB66" s="134"/>
      <c r="AC66" s="8" t="str">
        <f t="shared" si="0"/>
        <v>EDB</v>
      </c>
      <c r="AD66" s="1683"/>
      <c r="AE66" s="25" t="s">
        <v>628</v>
      </c>
      <c r="AF66" s="378"/>
      <c r="AG66" s="135"/>
      <c r="AH66" s="386"/>
      <c r="AI66" s="349" t="s">
        <v>402</v>
      </c>
      <c r="AJ66" s="378" t="str">
        <f>VLOOKUP(AJ65,AI60:AJ64,2,FALSE)</f>
        <v>Total Risk=1E-5</v>
      </c>
    </row>
    <row r="67" spans="2:36" ht="13.5" hidden="1" thickBot="1">
      <c r="B67" s="8" t="s">
        <v>157</v>
      </c>
      <c r="G67" s="8">
        <v>2.5</v>
      </c>
      <c r="Z67" s="8"/>
      <c r="AA67" s="386" t="str">
        <f>IF(dc_EDC="no","",pah3)</f>
        <v>NA</v>
      </c>
      <c r="AB67" s="134"/>
      <c r="AC67" s="8" t="str">
        <f t="shared" si="0"/>
        <v>EDC</v>
      </c>
      <c r="AD67" s="1683"/>
      <c r="AE67" s="25" t="s">
        <v>629</v>
      </c>
      <c r="AF67" s="378"/>
      <c r="AG67" s="135"/>
      <c r="AH67" s="387"/>
      <c r="AI67" s="52"/>
      <c r="AJ67" s="381"/>
    </row>
    <row r="68" spans="2:36" ht="12.75" hidden="1">
      <c r="B68" s="8" t="s">
        <v>158</v>
      </c>
      <c r="G68" s="8">
        <v>2.5</v>
      </c>
      <c r="Z68" s="8"/>
      <c r="AA68" s="1801"/>
      <c r="AB68" s="1802"/>
      <c r="AC68" s="112"/>
      <c r="AD68" s="1803"/>
      <c r="AE68" s="1299"/>
      <c r="AF68" s="1804"/>
      <c r="AG68" s="135"/>
      <c r="AH68" s="8"/>
      <c r="AI68" s="8"/>
      <c r="AJ68" s="8"/>
    </row>
    <row r="69" spans="2:36" ht="12.75" hidden="1">
      <c r="B69" s="8" t="s">
        <v>159</v>
      </c>
      <c r="G69" s="8">
        <v>22</v>
      </c>
      <c r="Z69" s="8"/>
      <c r="AA69" s="386"/>
      <c r="AB69" s="134"/>
      <c r="AC69" s="8"/>
      <c r="AD69" s="1683"/>
      <c r="AE69" s="25"/>
      <c r="AF69" s="378"/>
      <c r="AG69" s="135"/>
      <c r="AH69" s="8"/>
      <c r="AI69" s="8"/>
      <c r="AJ69" s="8"/>
    </row>
    <row r="70" spans="2:36" ht="12.75" hidden="1">
      <c r="B70" s="8" t="s">
        <v>295</v>
      </c>
      <c r="G70" s="8">
        <v>39.8</v>
      </c>
      <c r="Z70" s="8"/>
      <c r="AA70" s="386"/>
      <c r="AB70" s="134"/>
      <c r="AC70" s="8"/>
      <c r="AD70" s="1683"/>
      <c r="AE70" s="25"/>
      <c r="AF70" s="378"/>
      <c r="AG70" s="135"/>
      <c r="AH70" s="8"/>
      <c r="AI70" s="8"/>
      <c r="AJ70" s="8"/>
    </row>
    <row r="71" spans="2:36" ht="12.75" hidden="1">
      <c r="B71" s="8" t="s">
        <v>296</v>
      </c>
      <c r="G71" s="8">
        <v>58.4</v>
      </c>
      <c r="Z71" s="8"/>
      <c r="AA71" s="386"/>
      <c r="AB71" s="134"/>
      <c r="AC71" s="8"/>
      <c r="AD71" s="1683"/>
      <c r="AE71" s="25"/>
      <c r="AF71" s="378"/>
      <c r="AG71" s="135"/>
      <c r="AH71" s="8"/>
      <c r="AI71" s="8"/>
      <c r="AJ71" s="8"/>
    </row>
    <row r="72" spans="2:36" ht="13.5" hidden="1" thickBot="1">
      <c r="B72" s="8" t="s">
        <v>153</v>
      </c>
      <c r="G72" s="8">
        <v>0.95</v>
      </c>
      <c r="Z72" s="8"/>
      <c r="AA72" s="387"/>
      <c r="AB72" s="380"/>
      <c r="AC72" s="52"/>
      <c r="AD72" s="1684"/>
      <c r="AE72" s="379"/>
      <c r="AF72" s="381"/>
      <c r="AG72" s="135"/>
      <c r="AH72" s="8"/>
      <c r="AI72" s="8"/>
      <c r="AJ72" s="8"/>
    </row>
    <row r="73" spans="2:36" ht="12.75" hidden="1">
      <c r="B73" s="8" t="s">
        <v>154</v>
      </c>
      <c r="G73" s="8">
        <v>6.5520000000000005</v>
      </c>
      <c r="Z73" s="8"/>
      <c r="AA73" s="375" t="s">
        <v>400</v>
      </c>
      <c r="AB73" s="376"/>
      <c r="AC73" s="388">
        <f>MAX(AA62:AA67)</f>
        <v>307.4317806912004</v>
      </c>
      <c r="AD73" s="377"/>
      <c r="AE73" s="25"/>
      <c r="AF73" s="378"/>
      <c r="AG73" s="135"/>
      <c r="AH73" s="8"/>
      <c r="AI73" s="8"/>
      <c r="AJ73" s="8"/>
    </row>
    <row r="74" spans="2:36" ht="13.5" hidden="1" thickBot="1">
      <c r="B74" s="8" t="s">
        <v>155</v>
      </c>
      <c r="G74" s="8">
        <v>2.5</v>
      </c>
      <c r="Z74" s="8"/>
      <c r="AA74" s="379" t="s">
        <v>616</v>
      </c>
      <c r="AB74" s="52"/>
      <c r="AC74" s="380" t="str">
        <f>VLOOKUP(AC73,AA62:AC67,3,FALSE)</f>
        <v>Risk of cPAHs mixture= 1E-6</v>
      </c>
      <c r="AD74" s="381"/>
      <c r="AE74" s="379"/>
      <c r="AF74" s="381"/>
      <c r="AG74" s="135"/>
      <c r="AH74" s="8"/>
      <c r="AI74" s="8"/>
      <c r="AJ74" s="8"/>
    </row>
    <row r="75" spans="2:36" ht="12.75" hidden="1">
      <c r="B75" s="8" t="s">
        <v>156</v>
      </c>
      <c r="G75" s="8">
        <v>28.025199999999998</v>
      </c>
      <c r="Z75" s="8"/>
      <c r="AA75" s="8"/>
      <c r="AB75" s="8"/>
      <c r="AC75" s="134"/>
      <c r="AD75" s="8"/>
      <c r="AE75" s="8"/>
      <c r="AF75" s="8"/>
      <c r="AG75" s="135"/>
      <c r="AH75" s="8"/>
      <c r="AI75" s="8"/>
      <c r="AJ75" s="8"/>
    </row>
    <row r="76" spans="2:36" ht="12.75" hidden="1">
      <c r="B76" s="8" t="s">
        <v>307</v>
      </c>
      <c r="G76" s="8">
        <v>37.674200000000006</v>
      </c>
      <c r="Z76" s="8"/>
      <c r="AA76" s="8"/>
      <c r="AB76" s="8"/>
      <c r="AC76" s="134"/>
      <c r="AD76" s="8"/>
      <c r="AE76" s="8"/>
      <c r="AF76" s="8"/>
      <c r="AG76" s="8"/>
      <c r="AH76" s="8"/>
      <c r="AI76" s="8"/>
      <c r="AJ76" s="8"/>
    </row>
    <row r="77" spans="2:36" ht="13.5" hidden="1" thickBot="1">
      <c r="B77" s="8" t="s">
        <v>18</v>
      </c>
      <c r="G77" s="8">
        <v>0.5</v>
      </c>
      <c r="Z77" s="8"/>
      <c r="AA77" s="8" t="s">
        <v>464</v>
      </c>
      <c r="AB77" s="8"/>
      <c r="AC77" s="8"/>
      <c r="AD77" s="8"/>
      <c r="AE77" s="519" t="s">
        <v>465</v>
      </c>
      <c r="AF77" s="520">
        <f>NAPL_max</f>
        <v>72476.54330539754</v>
      </c>
      <c r="AG77" s="520" t="s">
        <v>13</v>
      </c>
      <c r="AH77" s="8" t="s">
        <v>507</v>
      </c>
      <c r="AI77" s="8" t="s">
        <v>508</v>
      </c>
      <c r="AJ77" s="8" t="s">
        <v>509</v>
      </c>
    </row>
    <row r="78" spans="2:36" ht="12.75" hidden="1">
      <c r="B78" s="8" t="s">
        <v>19</v>
      </c>
      <c r="G78" s="8">
        <v>0.03</v>
      </c>
      <c r="AA78" s="375"/>
      <c r="AB78" s="376"/>
      <c r="AC78" s="376" t="s">
        <v>3</v>
      </c>
      <c r="AD78" s="376" t="s">
        <v>415</v>
      </c>
      <c r="AE78" s="523" t="s">
        <v>409</v>
      </c>
      <c r="AF78" s="524" t="s">
        <v>408</v>
      </c>
      <c r="AG78" s="524" t="s">
        <v>513</v>
      </c>
      <c r="AH78" s="525">
        <f>IF(HI_target_PF="no","",HI_target)</f>
        <v>0</v>
      </c>
      <c r="AI78" s="1622" t="str">
        <f>AA40</f>
        <v>HI=1</v>
      </c>
      <c r="AJ78" s="526">
        <f>IF(HI_target_PF="no","",HI_target_TPH)</f>
        <v>0</v>
      </c>
    </row>
    <row r="79" spans="2:36" ht="12.75" hidden="1">
      <c r="B79" s="8" t="s">
        <v>113</v>
      </c>
      <c r="G79" s="8">
        <v>1.46</v>
      </c>
      <c r="AA79" s="25" t="s">
        <v>412</v>
      </c>
      <c r="AB79" s="8"/>
      <c r="AC79" s="8"/>
      <c r="AD79" s="8"/>
      <c r="AE79" s="521" t="s">
        <v>630</v>
      </c>
      <c r="AF79" s="8"/>
      <c r="AG79" s="8" t="str">
        <f>IF(PF_45000="fail","NO","YES")</f>
        <v>NO</v>
      </c>
      <c r="AH79" s="525">
        <f>IF(risk5_target_PF="no","",risk5_target)</f>
        <v>0</v>
      </c>
      <c r="AI79" s="1622" t="str">
        <f>AA41</f>
        <v>Total Risk = 1E-5</v>
      </c>
      <c r="AJ79" s="526">
        <f>IF(risk5_target_PF="no","",risk5_target_tph)</f>
        <v>0</v>
      </c>
    </row>
    <row r="80" spans="2:36" ht="12.75" hidden="1">
      <c r="B80" s="8" t="s">
        <v>170</v>
      </c>
      <c r="G80" s="8">
        <v>3.24</v>
      </c>
      <c r="AA80" s="25" t="str">
        <f>AA40</f>
        <v>HI=1</v>
      </c>
      <c r="AB80" s="8"/>
      <c r="AC80" s="8"/>
      <c r="AD80" s="6">
        <v>1</v>
      </c>
      <c r="AE80" s="522">
        <f>IF(HI_45000=0,0,IF(AF80&gt;AD80,1,-1))</f>
        <v>1</v>
      </c>
      <c r="AF80" s="46">
        <v>1.583706829812376</v>
      </c>
      <c r="AG80" s="8"/>
      <c r="AH80" s="525">
        <f>IF(risk6_target_pf="no","",risk6_target)</f>
        <v>0</v>
      </c>
      <c r="AI80" s="1622" t="str">
        <f>AA42</f>
        <v>Total Risk = 1E-6</v>
      </c>
      <c r="AJ80" s="526">
        <f>IF(risk6_target_pf="no","",risk6_target_tph)</f>
        <v>0</v>
      </c>
    </row>
    <row r="81" spans="2:36" ht="12.75" hidden="1">
      <c r="B81" s="8" t="s">
        <v>594</v>
      </c>
      <c r="G81" s="8">
        <v>1</v>
      </c>
      <c r="AA81" s="25" t="s">
        <v>404</v>
      </c>
      <c r="AB81" s="8"/>
      <c r="AC81" s="8"/>
      <c r="AD81" s="6" t="s">
        <v>410</v>
      </c>
      <c r="AE81" s="522">
        <f>IF(AF81=0,0,IF(AF81&lt;=0.000001,1,IF(AF81&gt;=0.00001,3,2)))</f>
        <v>2</v>
      </c>
      <c r="AF81" s="46">
        <v>8.819642673687078E-06</v>
      </c>
      <c r="AG81" s="8"/>
      <c r="AH81" s="525"/>
      <c r="AI81" s="1622"/>
      <c r="AJ81" s="526"/>
    </row>
    <row r="82" spans="2:36" ht="12.75" hidden="1">
      <c r="B82" s="8" t="s">
        <v>595</v>
      </c>
      <c r="G82" s="8">
        <v>1</v>
      </c>
      <c r="AG82" s="8"/>
      <c r="AH82" s="525">
        <f>IF(benzene_target_pf="no","",benzene_target)</f>
        <v>0</v>
      </c>
      <c r="AI82" s="1622" t="str">
        <f>AA44</f>
        <v>Benzene MCL = 5 ug/L</v>
      </c>
      <c r="AJ82" s="526">
        <f>IF(benzene_target_pf="no","",benzene_target_tph)</f>
        <v>0</v>
      </c>
    </row>
    <row r="83" spans="2:36" ht="12.75" hidden="1">
      <c r="B83" s="8" t="s">
        <v>599</v>
      </c>
      <c r="G83" s="8">
        <v>1</v>
      </c>
      <c r="AA83" s="25" t="s">
        <v>18</v>
      </c>
      <c r="AB83" s="8"/>
      <c r="AC83" s="8" t="s">
        <v>406</v>
      </c>
      <c r="AD83" s="6">
        <f>InputOutput!C24</f>
        <v>5</v>
      </c>
      <c r="AE83" s="522">
        <f>IF(AF83=0,0,IF(AF83&gt;AD83,1,-1))</f>
        <v>1</v>
      </c>
      <c r="AF83" s="46">
        <v>7.0150001154217225</v>
      </c>
      <c r="AG83" s="8"/>
      <c r="AH83" s="525"/>
      <c r="AI83" s="1622"/>
      <c r="AJ83" s="526"/>
    </row>
    <row r="84" spans="2:36" ht="12.75" hidden="1">
      <c r="B84" s="8" t="s">
        <v>187</v>
      </c>
      <c r="AA84" s="25"/>
      <c r="AB84" s="8"/>
      <c r="AC84" s="8"/>
      <c r="AD84" s="6"/>
      <c r="AE84" s="522"/>
      <c r="AF84" s="46">
        <v>38.42107663684663</v>
      </c>
      <c r="AG84" s="8"/>
      <c r="AH84" s="525">
        <f>IF(mtbe_target_PF="no","",mtbe_target)</f>
        <v>0</v>
      </c>
      <c r="AI84" s="1622" t="str">
        <f>AA45</f>
        <v>MTBE = 20 ug/L</v>
      </c>
      <c r="AJ84" s="526">
        <f>IF(mtbe_target_PF="no","",mtbe_target_tph)</f>
        <v>0</v>
      </c>
    </row>
    <row r="85" spans="2:36" ht="12.75" hidden="1">
      <c r="B85" s="8" t="s">
        <v>173</v>
      </c>
      <c r="G85" s="8">
        <v>0</v>
      </c>
      <c r="AA85" s="25" t="s">
        <v>173</v>
      </c>
      <c r="AB85" s="8"/>
      <c r="AC85" s="8" t="s">
        <v>406</v>
      </c>
      <c r="AD85" s="6">
        <f>InputOutput!C32</f>
        <v>20</v>
      </c>
      <c r="AE85" s="522">
        <f>IF(AF85=0,0,IF(AF85&gt;AD85,1,-1))</f>
        <v>0</v>
      </c>
      <c r="AF85" s="46">
        <v>0</v>
      </c>
      <c r="AG85" s="8"/>
      <c r="AH85" s="525">
        <f>IF(pah_target_pf="no","",pah_target)</f>
        <v>0</v>
      </c>
      <c r="AI85" s="1622" t="str">
        <f>AA43</f>
        <v>Risk of cPAHs mixture= 1E-5</v>
      </c>
      <c r="AJ85" s="526">
        <f>IF(pah_target_pf="no","",pah_target_tph)</f>
        <v>0</v>
      </c>
    </row>
    <row r="86" spans="2:36" ht="12.75" hidden="1">
      <c r="B86" s="8" t="s">
        <v>226</v>
      </c>
      <c r="G86" s="8">
        <v>0</v>
      </c>
      <c r="AA86" s="25" t="s">
        <v>407</v>
      </c>
      <c r="AB86" s="8"/>
      <c r="AC86" s="8"/>
      <c r="AD86" s="2">
        <v>1E-05</v>
      </c>
      <c r="AE86" s="522">
        <f>IF(AF86=0,0,IF(AF86&gt;=AD86,1,-1))</f>
        <v>-1</v>
      </c>
      <c r="AF86" s="46">
        <v>7.853857283425379E-10</v>
      </c>
      <c r="AG86" s="8"/>
      <c r="AH86" s="6" t="s">
        <v>507</v>
      </c>
      <c r="AI86" s="6">
        <f>MAX(AH78:AH85)</f>
        <v>0</v>
      </c>
      <c r="AJ86" s="8"/>
    </row>
    <row r="87" spans="2:36" ht="12.75" hidden="1">
      <c r="B87" s="8" t="s">
        <v>227</v>
      </c>
      <c r="G87" s="8">
        <v>0</v>
      </c>
      <c r="AA87" s="25"/>
      <c r="AB87" s="8"/>
      <c r="AC87" s="8"/>
      <c r="AD87" s="8"/>
      <c r="AE87" s="521"/>
      <c r="AF87" s="8"/>
      <c r="AG87" s="8"/>
      <c r="AH87" s="6" t="s">
        <v>402</v>
      </c>
      <c r="AI87" s="6" t="str">
        <f>VLOOKUP(AI86,AH78:AI85,2,FALSE)</f>
        <v>HI=1</v>
      </c>
      <c r="AJ87" s="8"/>
    </row>
    <row r="88" spans="2:36" ht="12.75" hidden="1">
      <c r="B88" s="8" t="s">
        <v>228</v>
      </c>
      <c r="G88" s="8">
        <v>0</v>
      </c>
      <c r="AA88" s="526" t="s">
        <v>405</v>
      </c>
      <c r="AB88" s="526"/>
      <c r="AC88" s="526" t="s">
        <v>406</v>
      </c>
      <c r="AD88" s="525">
        <f>GW_target_CUL</f>
        <v>500</v>
      </c>
      <c r="AE88" s="525">
        <f>IF(GW_target_CUL=0,3,IF(AF88=0,0,IF(AF88&gt;AD88,1,-1)))</f>
        <v>1</v>
      </c>
      <c r="AF88" s="527">
        <v>944.0353927588185</v>
      </c>
      <c r="AG88" s="526"/>
      <c r="AH88" s="8" t="s">
        <v>510</v>
      </c>
      <c r="AI88" s="8">
        <f>MAX(AJ78:AJ85)</f>
        <v>0</v>
      </c>
      <c r="AJ88" s="8"/>
    </row>
    <row r="89" spans="2:33" ht="12.75" hidden="1">
      <c r="B89" s="8" t="s">
        <v>132</v>
      </c>
      <c r="G89" s="8">
        <v>0</v>
      </c>
      <c r="AA89" s="8"/>
      <c r="AB89" s="8"/>
      <c r="AC89" s="8"/>
      <c r="AD89" s="8"/>
      <c r="AE89" s="8"/>
      <c r="AF89" s="8"/>
      <c r="AG89" s="8"/>
    </row>
    <row r="90" spans="2:33" ht="12.75" hidden="1">
      <c r="B90" s="8" t="s">
        <v>133</v>
      </c>
      <c r="G90" s="8">
        <v>0</v>
      </c>
      <c r="AA90" s="8"/>
      <c r="AB90" s="8"/>
      <c r="AC90" s="8"/>
      <c r="AD90" s="8"/>
      <c r="AE90" s="8"/>
      <c r="AF90" s="8"/>
      <c r="AG90" s="8"/>
    </row>
    <row r="91" spans="2:7" ht="12.75" hidden="1">
      <c r="B91" s="8" t="s">
        <v>131</v>
      </c>
      <c r="G91" s="8">
        <v>0.1</v>
      </c>
    </row>
    <row r="92" spans="2:7" ht="12.75" hidden="1">
      <c r="B92" s="8" t="s">
        <v>134</v>
      </c>
      <c r="G92" s="8">
        <v>0</v>
      </c>
    </row>
    <row r="93" spans="2:7" ht="12.75" hidden="1">
      <c r="B93" s="8" t="s">
        <v>233</v>
      </c>
      <c r="G93" s="8">
        <v>0</v>
      </c>
    </row>
    <row r="94" spans="2:27" ht="13.5" hidden="1" thickBot="1">
      <c r="B94" s="8" t="s">
        <v>135</v>
      </c>
      <c r="G94" s="8">
        <v>0</v>
      </c>
      <c r="AA94" s="77" t="s">
        <v>515</v>
      </c>
    </row>
    <row r="95" spans="27:30" ht="12.75" hidden="1">
      <c r="AA95" s="2005" t="s">
        <v>246</v>
      </c>
      <c r="AB95" s="2006"/>
      <c r="AC95" s="2009" t="s">
        <v>483</v>
      </c>
      <c r="AD95" s="2006"/>
    </row>
    <row r="96" spans="27:31" ht="13.5" hidden="1" thickBot="1">
      <c r="AA96" s="2007"/>
      <c r="AB96" s="2008"/>
      <c r="AC96" s="2010"/>
      <c r="AD96" s="2008"/>
      <c r="AE96" s="77" t="s">
        <v>514</v>
      </c>
    </row>
    <row r="97" spans="27:35" ht="13.5" hidden="1" thickTop="1">
      <c r="AA97" s="2011" t="s">
        <v>486</v>
      </c>
      <c r="AB97" s="2012"/>
      <c r="AC97" s="528" t="s">
        <v>484</v>
      </c>
      <c r="AD97" s="529"/>
      <c r="AG97" s="1603" t="s">
        <v>417</v>
      </c>
      <c r="AH97" s="1602">
        <f aca="true" t="shared" si="1" ref="AH97:AH102">AG40</f>
        <v>0</v>
      </c>
      <c r="AI97" s="1606">
        <f aca="true" t="shared" si="2" ref="AI97:AI102">IF(AH97="100% NAPL",1,0)</f>
        <v>0</v>
      </c>
    </row>
    <row r="98" spans="27:35" ht="12.75" hidden="1">
      <c r="AA98" s="2013"/>
      <c r="AB98" s="2014"/>
      <c r="AC98" s="530" t="s">
        <v>485</v>
      </c>
      <c r="AD98" s="531"/>
      <c r="AG98" s="1603" t="s">
        <v>455</v>
      </c>
      <c r="AH98" s="1602">
        <f t="shared" si="1"/>
        <v>0</v>
      </c>
      <c r="AI98" s="1606">
        <f t="shared" si="2"/>
        <v>0</v>
      </c>
    </row>
    <row r="99" spans="27:35" ht="12.75" hidden="1">
      <c r="AA99" s="1998" t="s">
        <v>487</v>
      </c>
      <c r="AB99" s="1999"/>
      <c r="AC99" s="532" t="s">
        <v>488</v>
      </c>
      <c r="AD99" s="533"/>
      <c r="AG99" s="1603" t="s">
        <v>456</v>
      </c>
      <c r="AH99" s="1602">
        <f t="shared" si="1"/>
        <v>0</v>
      </c>
      <c r="AI99" s="1606">
        <f t="shared" si="2"/>
        <v>0</v>
      </c>
    </row>
    <row r="100" spans="27:35" ht="13.5" hidden="1" thickBot="1">
      <c r="AA100" s="2000"/>
      <c r="AB100" s="2001"/>
      <c r="AC100" s="534" t="s">
        <v>489</v>
      </c>
      <c r="AD100" s="535"/>
      <c r="AG100" s="1603" t="s">
        <v>469</v>
      </c>
      <c r="AH100" s="1602">
        <f t="shared" si="1"/>
        <v>0</v>
      </c>
      <c r="AI100" s="1606">
        <f t="shared" si="2"/>
        <v>0</v>
      </c>
    </row>
    <row r="101" spans="33:35" ht="12.75" hidden="1">
      <c r="AG101" s="1603" t="s">
        <v>504</v>
      </c>
      <c r="AH101" s="1602">
        <f t="shared" si="1"/>
        <v>0</v>
      </c>
      <c r="AI101" s="1606">
        <f t="shared" si="2"/>
        <v>0</v>
      </c>
    </row>
    <row r="102" spans="33:35" ht="12.75" hidden="1">
      <c r="AG102" s="1603" t="s">
        <v>505</v>
      </c>
      <c r="AH102" s="1602">
        <f t="shared" si="1"/>
        <v>0</v>
      </c>
      <c r="AI102" s="1606">
        <f t="shared" si="2"/>
        <v>0</v>
      </c>
    </row>
    <row r="103" spans="32:35" ht="12.75" hidden="1">
      <c r="AF103" s="1604"/>
      <c r="AG103" s="1605" t="s">
        <v>22</v>
      </c>
      <c r="AH103" s="1605"/>
      <c r="AI103" s="1607">
        <f>SUM(AI97:AI102)</f>
        <v>0</v>
      </c>
    </row>
    <row r="104" ht="12.75" hidden="1"/>
    <row r="105" ht="12.75" hidden="1"/>
    <row r="106" ht="12.75" hidden="1"/>
    <row r="107" ht="13.5" thickTop="1"/>
  </sheetData>
  <sheetProtection/>
  <mergeCells count="77">
    <mergeCell ref="AA9:AB10"/>
    <mergeCell ref="AG27:AJ30"/>
    <mergeCell ref="AH23:AH24"/>
    <mergeCell ref="AD23:AD24"/>
    <mergeCell ref="AC23:AC24"/>
    <mergeCell ref="B17:D17"/>
    <mergeCell ref="AH9:AI10"/>
    <mergeCell ref="AC22:AF22"/>
    <mergeCell ref="B21:D21"/>
    <mergeCell ref="B22:D22"/>
    <mergeCell ref="B39:D39"/>
    <mergeCell ref="AA22:AB24"/>
    <mergeCell ref="AD20:AF20"/>
    <mergeCell ref="AD36:AF36"/>
    <mergeCell ref="AH11:AI11"/>
    <mergeCell ref="AH12:AI12"/>
    <mergeCell ref="AD34:AF34"/>
    <mergeCell ref="AD18:AF18"/>
    <mergeCell ref="AD19:AF19"/>
    <mergeCell ref="B41:D41"/>
    <mergeCell ref="B42:D42"/>
    <mergeCell ref="B32:D32"/>
    <mergeCell ref="B31:D31"/>
    <mergeCell ref="B34:D34"/>
    <mergeCell ref="B29:D29"/>
    <mergeCell ref="B30:D30"/>
    <mergeCell ref="B40:D40"/>
    <mergeCell ref="B36:D36"/>
    <mergeCell ref="B37:D37"/>
    <mergeCell ref="B54:E55"/>
    <mergeCell ref="AH13:AI13"/>
    <mergeCell ref="AH14:AI14"/>
    <mergeCell ref="AF48:AF49"/>
    <mergeCell ref="AI48:AI49"/>
    <mergeCell ref="AD35:AF35"/>
    <mergeCell ref="AG20:AJ20"/>
    <mergeCell ref="AJ23:AJ24"/>
    <mergeCell ref="AA38:AB39"/>
    <mergeCell ref="B13:D13"/>
    <mergeCell ref="C3:R3"/>
    <mergeCell ref="C4:R4"/>
    <mergeCell ref="C5:R5"/>
    <mergeCell ref="B25:D25"/>
    <mergeCell ref="B19:D19"/>
    <mergeCell ref="B27:D27"/>
    <mergeCell ref="B15:D15"/>
    <mergeCell ref="B14:D14"/>
    <mergeCell ref="AC9:AD10"/>
    <mergeCell ref="AA13:AB14"/>
    <mergeCell ref="AF9:AG9"/>
    <mergeCell ref="B38:D38"/>
    <mergeCell ref="B33:D33"/>
    <mergeCell ref="B35:D35"/>
    <mergeCell ref="B16:D16"/>
    <mergeCell ref="AA11:AB12"/>
    <mergeCell ref="AE9:AE10"/>
    <mergeCell ref="B28:D28"/>
    <mergeCell ref="AA99:AB100"/>
    <mergeCell ref="AC48:AE48"/>
    <mergeCell ref="AA95:AB96"/>
    <mergeCell ref="AC95:AD96"/>
    <mergeCell ref="AA97:AB98"/>
    <mergeCell ref="B18:D18"/>
    <mergeCell ref="B23:D23"/>
    <mergeCell ref="B24:D24"/>
    <mergeCell ref="B20:D20"/>
    <mergeCell ref="B26:D26"/>
    <mergeCell ref="AA48:AB49"/>
    <mergeCell ref="AE23:AE24"/>
    <mergeCell ref="AF23:AF24"/>
    <mergeCell ref="AG18:AJ18"/>
    <mergeCell ref="AG22:AJ22"/>
    <mergeCell ref="AI23:AI24"/>
    <mergeCell ref="AC38:AF38"/>
    <mergeCell ref="AG38:AG39"/>
    <mergeCell ref="AG19:AJ19"/>
    <mergeCell ref="AG23:AG24"/>
  </mergeCells>
  <conditionalFormatting sqref="AC40:AC45 AC25:AC30">
    <cfRule type="cellIs" priority="1" dxfId="0" operator="equal" stopIfTrue="1">
      <formula>"NO"</formula>
    </cfRule>
  </conditionalFormatting>
  <conditionalFormatting sqref="AG25:AG26">
    <cfRule type="cellIs" priority="2" dxfId="0" operator="equal" stopIfTrue="1">
      <formula>"no"</formula>
    </cfRule>
  </conditionalFormatting>
  <printOptions horizontalCentered="1"/>
  <pageMargins left="0.17" right="0.18" top="0.54" bottom="0.46" header="0.25" footer="0.28"/>
  <pageSetup blackAndWhite="1" fitToWidth="2" horizontalDpi="300" verticalDpi="300" orientation="portrait" scale="86" r:id="rId4"/>
  <headerFooter alignWithMargins="0">
    <oddHeader>&amp;CWashington State Department of Ecology, Toxics Cleanup Program: Soil Cleanup Level for TPH Sites - Main Data Entry Form and Calculation Summary</oddHeader>
    <oddFooter>&amp;L&amp;T  &amp;D    &amp;F
&amp;Z
&amp;RPage &amp;P</oddFooter>
  </headerFooter>
  <colBreaks count="1" manualBreakCount="1">
    <brk id="24" max="65535" man="1"/>
  </colBreaks>
  <drawing r:id="rId3"/>
  <legacyDrawing r:id="rId2"/>
</worksheet>
</file>

<file path=xl/worksheets/sheet19.xml><?xml version="1.0" encoding="utf-8"?>
<worksheet xmlns="http://schemas.openxmlformats.org/spreadsheetml/2006/main" xmlns:r="http://schemas.openxmlformats.org/officeDocument/2006/relationships">
  <sheetPr codeName="Sheet321"/>
  <dimension ref="A1:AI73"/>
  <sheetViews>
    <sheetView showGridLines="0" showRowColHeaders="0" zoomScale="97" zoomScaleNormal="97" zoomScalePageLayoutView="0" workbookViewId="0" topLeftCell="A1">
      <selection activeCell="B5" sqref="B5"/>
    </sheetView>
  </sheetViews>
  <sheetFormatPr defaultColWidth="9.140625" defaultRowHeight="12.75"/>
  <cols>
    <col min="1" max="1" width="20.7109375" style="8" customWidth="1"/>
    <col min="2" max="2" width="12.28125" style="8" customWidth="1"/>
    <col min="3" max="3" width="5.7109375" style="8" hidden="1" customWidth="1"/>
    <col min="4" max="4" width="8.57421875" style="8" hidden="1" customWidth="1"/>
    <col min="5" max="5" width="6.57421875" style="8" hidden="1" customWidth="1"/>
    <col min="6" max="6" width="7.00390625" style="8" hidden="1" customWidth="1"/>
    <col min="7" max="7" width="9.28125" style="8" hidden="1" customWidth="1"/>
    <col min="8" max="8" width="6.28125" style="8" hidden="1" customWidth="1"/>
    <col min="9" max="9" width="11.00390625" style="8" hidden="1" customWidth="1"/>
    <col min="10" max="10" width="4.57421875" style="8" hidden="1" customWidth="1"/>
    <col min="11" max="11" width="9.57421875" style="8" customWidth="1"/>
    <col min="12" max="12" width="8.28125" style="8" hidden="1" customWidth="1"/>
    <col min="13" max="13" width="8.28125" style="8" customWidth="1"/>
    <col min="14" max="15" width="8.28125" style="8" hidden="1" customWidth="1"/>
    <col min="16" max="16" width="8.28125" style="8" customWidth="1"/>
    <col min="17" max="17" width="8.00390625" style="8" hidden="1" customWidth="1"/>
    <col min="18" max="18" width="11.28125" style="8" hidden="1" customWidth="1"/>
    <col min="19" max="19" width="9.57421875" style="8" customWidth="1"/>
    <col min="20" max="20" width="8.00390625" style="8" customWidth="1"/>
    <col min="21" max="21" width="8.421875" style="8" customWidth="1"/>
    <col min="22" max="22" width="6.421875" style="8" customWidth="1"/>
    <col min="23" max="23" width="7.28125" style="8" hidden="1" customWidth="1"/>
    <col min="24" max="24" width="2.7109375" style="8" hidden="1" customWidth="1"/>
    <col min="25" max="25" width="3.7109375" style="8" hidden="1" customWidth="1"/>
    <col min="26" max="26" width="1.7109375" style="8" hidden="1" customWidth="1"/>
    <col min="27" max="27" width="2.7109375" style="8" hidden="1" customWidth="1"/>
    <col min="28" max="28" width="0.85546875" style="8" customWidth="1"/>
    <col min="29" max="29" width="21.00390625" style="8" customWidth="1"/>
    <col min="30" max="30" width="14.7109375" style="8" customWidth="1"/>
    <col min="31" max="31" width="14.28125" style="8" customWidth="1"/>
    <col min="32" max="32" width="0.85546875" style="8" customWidth="1"/>
    <col min="33" max="33" width="2.140625" style="8" customWidth="1"/>
    <col min="34" max="34" width="6.140625" style="8" bestFit="1" customWidth="1"/>
    <col min="35" max="16384" width="9.140625" style="8" customWidth="1"/>
  </cols>
  <sheetData>
    <row r="1" spans="1:32" ht="17.25" customHeight="1">
      <c r="A1" s="110" t="s">
        <v>584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5.75" customHeight="1">
      <c r="A2" s="136" t="s">
        <v>583</v>
      </c>
      <c r="B2" s="88"/>
      <c r="C2" s="88"/>
      <c r="D2" s="88"/>
      <c r="E2" s="88"/>
      <c r="F2" s="88"/>
      <c r="G2" s="88"/>
      <c r="H2" s="88"/>
      <c r="I2" s="88"/>
      <c r="J2" s="88"/>
      <c r="K2" s="88"/>
      <c r="L2" s="88"/>
      <c r="M2" s="88"/>
      <c r="N2" s="88"/>
      <c r="O2" s="88"/>
      <c r="P2" s="88"/>
      <c r="Q2" s="88"/>
      <c r="R2" s="88"/>
      <c r="S2" s="88"/>
      <c r="T2" s="88"/>
      <c r="U2" s="88"/>
      <c r="V2" s="88"/>
      <c r="W2" s="11"/>
      <c r="X2" s="11"/>
      <c r="Y2" s="11"/>
      <c r="Z2" s="11"/>
      <c r="AA2" s="11"/>
      <c r="AB2" s="11"/>
      <c r="AC2" s="11"/>
      <c r="AD2" s="89"/>
      <c r="AE2" s="11"/>
      <c r="AF2" s="11"/>
    </row>
    <row r="3" spans="1:32" ht="12.75">
      <c r="A3" s="90" t="str">
        <f>MainForm!B3</f>
        <v>Date:</v>
      </c>
      <c r="B3" s="93">
        <f>MainForm!C3</f>
        <v>38822</v>
      </c>
      <c r="C3" s="92"/>
      <c r="D3" s="92"/>
      <c r="E3" s="92"/>
      <c r="F3" s="92"/>
      <c r="G3" s="92"/>
      <c r="H3" s="92"/>
      <c r="I3" s="92"/>
      <c r="J3" s="92"/>
      <c r="K3" s="92"/>
      <c r="L3" s="92"/>
      <c r="M3" s="92"/>
      <c r="N3" s="92"/>
      <c r="O3" s="92"/>
      <c r="P3" s="92"/>
      <c r="Q3" s="92"/>
      <c r="R3" s="92"/>
      <c r="S3" s="92"/>
      <c r="T3" s="92"/>
      <c r="U3" s="92"/>
      <c r="V3" s="92"/>
      <c r="W3" s="92"/>
      <c r="X3" s="92"/>
      <c r="Y3" s="92"/>
      <c r="Z3" s="92"/>
      <c r="AA3" s="92"/>
      <c r="AB3" s="11"/>
      <c r="AC3" s="11"/>
      <c r="AD3" s="11"/>
      <c r="AE3" s="11"/>
      <c r="AF3" s="11"/>
    </row>
    <row r="4" spans="1:32" ht="12.75">
      <c r="A4" s="90" t="str">
        <f>MainForm!B4</f>
        <v>Site Name:</v>
      </c>
      <c r="B4" s="91" t="str">
        <f>MainForm!C4</f>
        <v>ooo</v>
      </c>
      <c r="C4" s="92"/>
      <c r="D4" s="92"/>
      <c r="E4" s="92"/>
      <c r="F4" s="92"/>
      <c r="G4" s="92"/>
      <c r="H4" s="92"/>
      <c r="I4" s="92"/>
      <c r="J4" s="92"/>
      <c r="K4" s="92"/>
      <c r="L4" s="92"/>
      <c r="M4" s="92"/>
      <c r="N4" s="92"/>
      <c r="O4" s="92"/>
      <c r="P4" s="92"/>
      <c r="Q4" s="92"/>
      <c r="R4" s="92"/>
      <c r="S4" s="92"/>
      <c r="T4" s="92"/>
      <c r="U4" s="92"/>
      <c r="V4" s="92"/>
      <c r="W4" s="92"/>
      <c r="X4" s="92"/>
      <c r="Y4" s="92"/>
      <c r="Z4" s="92"/>
      <c r="AA4" s="92"/>
      <c r="AB4" s="11"/>
      <c r="AC4" s="11"/>
      <c r="AD4" s="11"/>
      <c r="AE4" s="11"/>
      <c r="AF4" s="11"/>
    </row>
    <row r="5" spans="1:32" ht="12.75">
      <c r="A5" s="111" t="str">
        <f>MainForm!B5</f>
        <v>Sample Name:</v>
      </c>
      <c r="B5" s="131">
        <f>MainForm!C5</f>
        <v>0</v>
      </c>
      <c r="C5" s="132"/>
      <c r="D5" s="132"/>
      <c r="E5" s="132"/>
      <c r="F5" s="132"/>
      <c r="G5" s="132"/>
      <c r="H5" s="132"/>
      <c r="I5" s="132"/>
      <c r="J5" s="132"/>
      <c r="K5" s="132"/>
      <c r="L5" s="132"/>
      <c r="M5" s="132"/>
      <c r="N5" s="132"/>
      <c r="O5" s="132"/>
      <c r="P5" s="132"/>
      <c r="Q5" s="132"/>
      <c r="R5" s="132"/>
      <c r="S5" s="132"/>
      <c r="T5" s="132"/>
      <c r="U5" s="132"/>
      <c r="V5" s="132"/>
      <c r="W5" s="92"/>
      <c r="X5" s="92"/>
      <c r="Y5" s="92"/>
      <c r="Z5" s="92"/>
      <c r="AA5" s="92"/>
      <c r="AB5" s="11"/>
      <c r="AC5" s="11"/>
      <c r="AD5" s="11"/>
      <c r="AE5" s="11"/>
      <c r="AF5" s="11"/>
    </row>
    <row r="6" spans="1:32" ht="2.25" customHeight="1">
      <c r="A6" s="90"/>
      <c r="B6" s="93"/>
      <c r="C6" s="92"/>
      <c r="D6" s="92"/>
      <c r="E6" s="92"/>
      <c r="F6" s="92"/>
      <c r="G6" s="92"/>
      <c r="H6" s="92"/>
      <c r="I6" s="92"/>
      <c r="J6" s="92"/>
      <c r="K6" s="92"/>
      <c r="L6" s="92"/>
      <c r="M6" s="92"/>
      <c r="N6" s="92"/>
      <c r="O6" s="92"/>
      <c r="P6" s="92"/>
      <c r="Q6" s="92"/>
      <c r="R6" s="92"/>
      <c r="S6" s="92"/>
      <c r="T6" s="92"/>
      <c r="U6" s="92"/>
      <c r="V6" s="92"/>
      <c r="W6" s="92"/>
      <c r="X6" s="92"/>
      <c r="Y6" s="92"/>
      <c r="Z6" s="92"/>
      <c r="AA6" s="92"/>
      <c r="AB6" s="11"/>
      <c r="AC6" s="94"/>
      <c r="AD6" s="92"/>
      <c r="AE6" s="92"/>
      <c r="AF6" s="11"/>
    </row>
    <row r="7" spans="1:32" ht="16.5" customHeight="1" thickBot="1">
      <c r="A7" s="274"/>
      <c r="B7" s="275"/>
      <c r="C7" s="142"/>
      <c r="D7" s="142"/>
      <c r="E7" s="142"/>
      <c r="F7" s="142"/>
      <c r="G7" s="142"/>
      <c r="H7" s="142"/>
      <c r="I7" s="142"/>
      <c r="J7" s="142"/>
      <c r="K7" s="142"/>
      <c r="L7" s="142"/>
      <c r="M7" s="142"/>
      <c r="N7" s="142"/>
      <c r="O7" s="142"/>
      <c r="P7" s="142"/>
      <c r="Q7" s="142"/>
      <c r="R7" s="154"/>
      <c r="S7" s="142"/>
      <c r="T7" s="142"/>
      <c r="U7" s="142"/>
      <c r="V7" s="142"/>
      <c r="W7" s="92"/>
      <c r="X7" s="92"/>
      <c r="Y7" s="92"/>
      <c r="Z7" s="92"/>
      <c r="AA7" s="92"/>
      <c r="AB7" s="11"/>
      <c r="AC7" s="11"/>
      <c r="AD7" s="11"/>
      <c r="AE7" s="11"/>
      <c r="AF7" s="11"/>
    </row>
    <row r="8" spans="1:32" ht="16.5" thickBot="1">
      <c r="A8" s="1952" t="s">
        <v>539</v>
      </c>
      <c r="B8" s="304"/>
      <c r="C8" s="302" t="s">
        <v>263</v>
      </c>
      <c r="D8" s="300"/>
      <c r="E8" s="300"/>
      <c r="F8" s="300"/>
      <c r="G8" s="302" t="s">
        <v>261</v>
      </c>
      <c r="H8" s="301"/>
      <c r="I8" s="301"/>
      <c r="J8" s="293"/>
      <c r="K8" s="302" t="s">
        <v>215</v>
      </c>
      <c r="L8" s="302"/>
      <c r="M8" s="300"/>
      <c r="N8" s="300"/>
      <c r="O8" s="300"/>
      <c r="P8" s="303"/>
      <c r="Q8" s="276"/>
      <c r="R8" s="276"/>
      <c r="S8" s="2121" t="s">
        <v>251</v>
      </c>
      <c r="T8" s="2122"/>
      <c r="U8" s="2122"/>
      <c r="V8" s="2123"/>
      <c r="W8" s="11"/>
      <c r="X8" s="11"/>
      <c r="Y8" s="11"/>
      <c r="Z8" s="11"/>
      <c r="AA8" s="11"/>
      <c r="AB8" s="11"/>
      <c r="AC8" s="2127" t="s">
        <v>519</v>
      </c>
      <c r="AD8" s="2128"/>
      <c r="AE8" s="2129"/>
      <c r="AF8" s="11"/>
    </row>
    <row r="9" spans="1:32" ht="15.75" customHeight="1" thickTop="1">
      <c r="A9" s="1953"/>
      <c r="B9" s="2109" t="s">
        <v>364</v>
      </c>
      <c r="C9" s="585"/>
      <c r="D9" s="586"/>
      <c r="E9" s="586"/>
      <c r="F9" s="586"/>
      <c r="G9" s="585"/>
      <c r="H9" s="587"/>
      <c r="I9" s="587"/>
      <c r="J9" s="588"/>
      <c r="K9" s="2119" t="s">
        <v>60</v>
      </c>
      <c r="L9" s="585"/>
      <c r="M9" s="1948" t="s">
        <v>208</v>
      </c>
      <c r="N9" s="586"/>
      <c r="O9" s="586"/>
      <c r="P9" s="2111" t="s">
        <v>214</v>
      </c>
      <c r="Q9" s="589"/>
      <c r="R9" s="589"/>
      <c r="S9" s="2130" t="s">
        <v>224</v>
      </c>
      <c r="T9" s="1966" t="s">
        <v>60</v>
      </c>
      <c r="U9" s="1966" t="s">
        <v>208</v>
      </c>
      <c r="V9" s="1969" t="s">
        <v>214</v>
      </c>
      <c r="W9" s="11"/>
      <c r="X9" s="11"/>
      <c r="Y9" s="11"/>
      <c r="Z9" s="11"/>
      <c r="AA9" s="11"/>
      <c r="AB9" s="11"/>
      <c r="AC9" s="773"/>
      <c r="AD9" s="730" t="s">
        <v>520</v>
      </c>
      <c r="AE9" s="598">
        <f>B44</f>
        <v>845.15</v>
      </c>
      <c r="AF9" s="11"/>
    </row>
    <row r="10" spans="1:32" ht="15.75" customHeight="1">
      <c r="A10" s="1953"/>
      <c r="B10" s="2110"/>
      <c r="C10" s="1934" t="s">
        <v>203</v>
      </c>
      <c r="D10" s="1946" t="s">
        <v>204</v>
      </c>
      <c r="E10" s="1946" t="s">
        <v>471</v>
      </c>
      <c r="F10" s="1946" t="s">
        <v>206</v>
      </c>
      <c r="G10" s="1946" t="s">
        <v>472</v>
      </c>
      <c r="H10" s="2114" t="s">
        <v>207</v>
      </c>
      <c r="I10" s="1936" t="s">
        <v>473</v>
      </c>
      <c r="J10" s="2116" t="s">
        <v>221</v>
      </c>
      <c r="K10" s="1946"/>
      <c r="L10" s="1944" t="s">
        <v>387</v>
      </c>
      <c r="M10" s="1944"/>
      <c r="N10" s="454"/>
      <c r="O10" s="454"/>
      <c r="P10" s="2112"/>
      <c r="Q10" s="455" t="s">
        <v>240</v>
      </c>
      <c r="R10" s="143" t="s">
        <v>21</v>
      </c>
      <c r="S10" s="2131"/>
      <c r="T10" s="1967"/>
      <c r="U10" s="1967"/>
      <c r="V10" s="1970"/>
      <c r="W10" s="95" t="s">
        <v>222</v>
      </c>
      <c r="X10" s="95"/>
      <c r="Y10" s="95"/>
      <c r="Z10" s="95"/>
      <c r="AA10" s="95"/>
      <c r="AB10" s="11"/>
      <c r="AC10" s="773"/>
      <c r="AD10" s="730" t="s">
        <v>264</v>
      </c>
      <c r="AE10" s="774">
        <f>K44</f>
        <v>0.01950892823636795</v>
      </c>
      <c r="AF10" s="11"/>
    </row>
    <row r="11" spans="1:32" ht="15.75" customHeight="1">
      <c r="A11" s="1954"/>
      <c r="B11" s="453" t="s">
        <v>386</v>
      </c>
      <c r="C11" s="2118"/>
      <c r="D11" s="1947"/>
      <c r="E11" s="1947"/>
      <c r="F11" s="1950"/>
      <c r="G11" s="1947"/>
      <c r="H11" s="2115"/>
      <c r="I11" s="1951"/>
      <c r="J11" s="2117"/>
      <c r="K11" s="2120"/>
      <c r="L11" s="1949"/>
      <c r="M11" s="1949"/>
      <c r="N11" s="454"/>
      <c r="O11" s="454"/>
      <c r="P11" s="2113"/>
      <c r="Q11" s="143"/>
      <c r="R11" s="143"/>
      <c r="S11" s="2132"/>
      <c r="T11" s="1968"/>
      <c r="U11" s="1968"/>
      <c r="V11" s="1971"/>
      <c r="W11" s="95"/>
      <c r="X11" s="95"/>
      <c r="Y11" s="95"/>
      <c r="Z11" s="95"/>
      <c r="AA11" s="95"/>
      <c r="AB11" s="89"/>
      <c r="AC11" s="776"/>
      <c r="AD11" s="765" t="s">
        <v>521</v>
      </c>
      <c r="AE11" s="777">
        <f>M44</f>
        <v>6.82812169130692E-07</v>
      </c>
      <c r="AF11" s="11"/>
    </row>
    <row r="12" spans="1:33" s="250" customFormat="1" ht="15" customHeight="1" thickBot="1">
      <c r="A12" s="277"/>
      <c r="B12" s="298" t="s">
        <v>13</v>
      </c>
      <c r="C12" s="279" t="s">
        <v>63</v>
      </c>
      <c r="D12" s="280" t="s">
        <v>260</v>
      </c>
      <c r="E12" s="294" t="s">
        <v>63</v>
      </c>
      <c r="F12" s="295" t="s">
        <v>63</v>
      </c>
      <c r="G12" s="295" t="s">
        <v>51</v>
      </c>
      <c r="H12" s="281" t="s">
        <v>51</v>
      </c>
      <c r="I12" s="281" t="s">
        <v>194</v>
      </c>
      <c r="J12" s="281" t="s">
        <v>194</v>
      </c>
      <c r="K12" s="279" t="s">
        <v>63</v>
      </c>
      <c r="L12" s="281" t="s">
        <v>38</v>
      </c>
      <c r="M12" s="280" t="s">
        <v>63</v>
      </c>
      <c r="N12" s="281"/>
      <c r="O12" s="281"/>
      <c r="P12" s="282"/>
      <c r="Q12" s="278"/>
      <c r="R12" s="278"/>
      <c r="S12" s="539" t="s">
        <v>13</v>
      </c>
      <c r="T12" s="541" t="s">
        <v>63</v>
      </c>
      <c r="U12" s="541" t="s">
        <v>63</v>
      </c>
      <c r="V12" s="542"/>
      <c r="W12" s="248"/>
      <c r="X12" s="248"/>
      <c r="Y12" s="248"/>
      <c r="Z12" s="248"/>
      <c r="AA12" s="248"/>
      <c r="AB12" s="249"/>
      <c r="AC12" s="758"/>
      <c r="AD12" s="759" t="s">
        <v>214</v>
      </c>
      <c r="AE12" s="775" t="str">
        <f>Q48</f>
        <v>Pass</v>
      </c>
      <c r="AF12" s="222"/>
      <c r="AG12" s="229"/>
    </row>
    <row r="13" spans="1:32" ht="13.5" customHeight="1" thickBot="1" thickTop="1">
      <c r="A13" s="314" t="str">
        <f>MainForm!B12</f>
        <v>Petroleum EC Fraction</v>
      </c>
      <c r="B13" s="299"/>
      <c r="C13" s="283"/>
      <c r="D13" s="284"/>
      <c r="E13" s="296"/>
      <c r="F13" s="297"/>
      <c r="G13" s="297"/>
      <c r="H13" s="285"/>
      <c r="I13" s="285"/>
      <c r="J13" s="285"/>
      <c r="K13" s="283"/>
      <c r="L13" s="285"/>
      <c r="M13" s="284"/>
      <c r="N13" s="285"/>
      <c r="O13" s="285"/>
      <c r="P13" s="286"/>
      <c r="Q13" s="153"/>
      <c r="R13" s="287"/>
      <c r="S13" s="543"/>
      <c r="T13" s="544"/>
      <c r="U13" s="544"/>
      <c r="V13" s="545"/>
      <c r="W13" s="11"/>
      <c r="X13" s="11"/>
      <c r="Y13" s="11"/>
      <c r="Z13" s="11"/>
      <c r="AA13" s="11"/>
      <c r="AB13" s="11"/>
      <c r="AC13" s="2124">
        <f>IF(sdc_il_3="Pass",IF(AE9&gt;1000,"Check Residual Saturation (WAC340-747(10))",""),"")</f>
      </c>
      <c r="AD13" s="2125"/>
      <c r="AE13" s="2126"/>
      <c r="AF13" s="11"/>
    </row>
    <row r="14" spans="1:32" ht="13.5" customHeight="1" thickBot="1">
      <c r="A14" s="1593" t="str">
        <f>MainForm!B13</f>
        <v>AL_EC &gt;5-6</v>
      </c>
      <c r="B14" s="412">
        <f>MainForm!G13</f>
        <v>35</v>
      </c>
      <c r="C14" s="412">
        <v>1</v>
      </c>
      <c r="D14" s="413">
        <v>0.2</v>
      </c>
      <c r="E14" s="414">
        <f aca="true" t="shared" si="0" ref="E14:E20">VLOOKUP(A14,chemlist2,12,FALSE)</f>
        <v>0.03</v>
      </c>
      <c r="F14" s="414">
        <f aca="true" t="shared" si="1" ref="F14:F20">VLOOKUP(A14,chemlist2,13,FALSE)</f>
        <v>0.8</v>
      </c>
      <c r="G14" s="415">
        <f aca="true" t="shared" si="2" ref="G14:G20">VLOOKUP(A14,chemlist2,8,FALSE)</f>
        <v>1.7</v>
      </c>
      <c r="H14" s="416">
        <f aca="true" t="shared" si="3" ref="H14:H20">F14*G14</f>
        <v>1.36</v>
      </c>
      <c r="I14" s="416"/>
      <c r="J14" s="416"/>
      <c r="K14" s="434">
        <f aca="true" t="shared" si="4" ref="K14:K29">IF(B14=0,"",(B14*(EF*ED*((SIR*C14/(1000000*G14))+(SA*D14*E14/(H14*1000000)))))/(ABW*AT))</f>
        <v>1.4154411764705883E-05</v>
      </c>
      <c r="L14" s="435">
        <f aca="true" t="shared" si="5" ref="L14:L32">IF(B14=0,"",IF(ISBLANK(G14)," ",100*K14/$K$44))</f>
        <v>0.07255350777455656</v>
      </c>
      <c r="M14" s="436"/>
      <c r="N14" s="437"/>
      <c r="O14" s="437"/>
      <c r="P14" s="438"/>
      <c r="Q14" s="439"/>
      <c r="R14" s="419">
        <f aca="true" t="shared" si="6" ref="R14:R20">B14/$B$44</f>
        <v>0.04141276696444418</v>
      </c>
      <c r="S14" s="546">
        <f aca="true" t="shared" si="7" ref="S14:S43">R14*$S$44</f>
        <v>512.5860607399472</v>
      </c>
      <c r="T14" s="547">
        <f aca="true" t="shared" si="8" ref="T14:T29">IF(B14=0,"",(S14*(EF*ED*((SIR*C14/(1000000*G14))+(SA*D14*E14/(H14*1000000)))))/(ABW*AT))</f>
        <v>0.00020729583338747866</v>
      </c>
      <c r="U14" s="547"/>
      <c r="V14" s="548"/>
      <c r="W14" s="97"/>
      <c r="X14" s="97"/>
      <c r="Y14" s="97"/>
      <c r="Z14" s="97"/>
      <c r="AA14" s="98"/>
      <c r="AB14" s="11"/>
      <c r="AC14" s="11"/>
      <c r="AD14" s="11"/>
      <c r="AE14" s="11"/>
      <c r="AF14" s="11"/>
    </row>
    <row r="15" spans="1:35" ht="15.75" customHeight="1" thickBot="1">
      <c r="A15" s="1593" t="str">
        <f>MainForm!B14</f>
        <v>AL_EC &gt;6-8</v>
      </c>
      <c r="B15" s="412">
        <f>MainForm!G14</f>
        <v>20</v>
      </c>
      <c r="C15" s="412">
        <v>1</v>
      </c>
      <c r="D15" s="413">
        <v>0.2</v>
      </c>
      <c r="E15" s="414">
        <f t="shared" si="0"/>
        <v>0.03</v>
      </c>
      <c r="F15" s="414">
        <f t="shared" si="1"/>
        <v>0.8</v>
      </c>
      <c r="G15" s="415">
        <f t="shared" si="2"/>
        <v>1.7</v>
      </c>
      <c r="H15" s="416">
        <f t="shared" si="3"/>
        <v>1.36</v>
      </c>
      <c r="I15" s="416"/>
      <c r="J15" s="416"/>
      <c r="K15" s="434">
        <f t="shared" si="4"/>
        <v>8.088235294117648E-06</v>
      </c>
      <c r="L15" s="435">
        <f t="shared" si="5"/>
        <v>0.04145914729974661</v>
      </c>
      <c r="M15" s="418"/>
      <c r="N15" s="437"/>
      <c r="O15" s="437"/>
      <c r="P15" s="438"/>
      <c r="Q15" s="439"/>
      <c r="R15" s="419">
        <f t="shared" si="6"/>
        <v>0.023664438265396676</v>
      </c>
      <c r="S15" s="546">
        <f t="shared" si="7"/>
        <v>292.906320422827</v>
      </c>
      <c r="T15" s="547">
        <f t="shared" si="8"/>
        <v>0.00011845476193570209</v>
      </c>
      <c r="U15" s="547"/>
      <c r="V15" s="548"/>
      <c r="W15" s="97"/>
      <c r="X15" s="97"/>
      <c r="Y15" s="97"/>
      <c r="Z15" s="97"/>
      <c r="AA15" s="98"/>
      <c r="AB15" s="11"/>
      <c r="AC15" s="2101" t="s">
        <v>518</v>
      </c>
      <c r="AD15" s="2102"/>
      <c r="AE15" s="2103"/>
      <c r="AF15" s="11"/>
      <c r="AH15" s="6"/>
      <c r="AI15" s="100"/>
    </row>
    <row r="16" spans="1:34" ht="13.5" customHeight="1">
      <c r="A16" s="1593" t="str">
        <f>MainForm!B15</f>
        <v>AL_EC &gt;8-10</v>
      </c>
      <c r="B16" s="412">
        <f>MainForm!G15</f>
        <v>40</v>
      </c>
      <c r="C16" s="412">
        <v>1</v>
      </c>
      <c r="D16" s="413">
        <v>0.2</v>
      </c>
      <c r="E16" s="414">
        <f t="shared" si="0"/>
        <v>0.03</v>
      </c>
      <c r="F16" s="414">
        <f t="shared" si="1"/>
        <v>0.8</v>
      </c>
      <c r="G16" s="415">
        <f t="shared" si="2"/>
        <v>0.03</v>
      </c>
      <c r="H16" s="416">
        <f t="shared" si="3"/>
        <v>0.024</v>
      </c>
      <c r="I16" s="416"/>
      <c r="J16" s="416"/>
      <c r="K16" s="417">
        <f t="shared" si="4"/>
        <v>0.0009166666666666665</v>
      </c>
      <c r="L16" s="435">
        <f t="shared" si="5"/>
        <v>4.698703360637949</v>
      </c>
      <c r="M16" s="418"/>
      <c r="N16" s="437"/>
      <c r="O16" s="437"/>
      <c r="P16" s="438"/>
      <c r="Q16" s="439"/>
      <c r="R16" s="419">
        <f t="shared" si="6"/>
        <v>0.04732887653079335</v>
      </c>
      <c r="S16" s="546">
        <f t="shared" si="7"/>
        <v>585.812640845654</v>
      </c>
      <c r="T16" s="547">
        <f t="shared" si="8"/>
        <v>0.01342487301937957</v>
      </c>
      <c r="U16" s="547"/>
      <c r="V16" s="548"/>
      <c r="W16" s="97"/>
      <c r="X16" s="97"/>
      <c r="Y16" s="97"/>
      <c r="Z16" s="97"/>
      <c r="AA16" s="98"/>
      <c r="AB16" s="11"/>
      <c r="AC16" s="770"/>
      <c r="AD16" s="591"/>
      <c r="AE16" s="771"/>
      <c r="AF16" s="11"/>
      <c r="AH16" s="6"/>
    </row>
    <row r="17" spans="1:34" ht="12.75" customHeight="1">
      <c r="A17" s="1593" t="str">
        <f>MainForm!B16</f>
        <v>AL_EC &gt;10-12</v>
      </c>
      <c r="B17" s="412">
        <f>MainForm!G16</f>
        <v>57</v>
      </c>
      <c r="C17" s="412">
        <v>1</v>
      </c>
      <c r="D17" s="413">
        <v>0.2</v>
      </c>
      <c r="E17" s="414">
        <f t="shared" si="0"/>
        <v>0.03</v>
      </c>
      <c r="F17" s="414">
        <f t="shared" si="1"/>
        <v>0.8</v>
      </c>
      <c r="G17" s="415">
        <f t="shared" si="2"/>
        <v>0.03</v>
      </c>
      <c r="H17" s="416">
        <f t="shared" si="3"/>
        <v>0.024</v>
      </c>
      <c r="I17" s="416"/>
      <c r="J17" s="416"/>
      <c r="K17" s="417">
        <f t="shared" si="4"/>
        <v>0.00130625</v>
      </c>
      <c r="L17" s="435">
        <f t="shared" si="5"/>
        <v>6.695652288909077</v>
      </c>
      <c r="M17" s="418"/>
      <c r="N17" s="437"/>
      <c r="O17" s="437"/>
      <c r="P17" s="438"/>
      <c r="Q17" s="439"/>
      <c r="R17" s="419">
        <f t="shared" si="6"/>
        <v>0.06744364905638052</v>
      </c>
      <c r="S17" s="546">
        <f t="shared" si="7"/>
        <v>834.7830132050568</v>
      </c>
      <c r="T17" s="547">
        <f t="shared" si="8"/>
        <v>0.019130444052615884</v>
      </c>
      <c r="U17" s="547"/>
      <c r="V17" s="548"/>
      <c r="W17" s="97"/>
      <c r="X17" s="97"/>
      <c r="Y17" s="97"/>
      <c r="Z17" s="97"/>
      <c r="AA17" s="98"/>
      <c r="AB17" s="11"/>
      <c r="AC17" s="770"/>
      <c r="AD17" s="591"/>
      <c r="AE17" s="771"/>
      <c r="AF17" s="11"/>
      <c r="AH17" s="6"/>
    </row>
    <row r="18" spans="1:35" ht="12.75" customHeight="1">
      <c r="A18" s="1593" t="str">
        <f>MainForm!B17</f>
        <v>AL_EC &gt;12-16</v>
      </c>
      <c r="B18" s="412">
        <f>MainForm!G17</f>
        <v>125</v>
      </c>
      <c r="C18" s="412">
        <v>1</v>
      </c>
      <c r="D18" s="413">
        <v>0.2</v>
      </c>
      <c r="E18" s="414">
        <f t="shared" si="0"/>
        <v>0.1</v>
      </c>
      <c r="F18" s="414">
        <f t="shared" si="1"/>
        <v>0.5</v>
      </c>
      <c r="G18" s="415">
        <f t="shared" si="2"/>
        <v>0.03</v>
      </c>
      <c r="H18" s="416">
        <f t="shared" si="3"/>
        <v>0.015</v>
      </c>
      <c r="I18" s="416"/>
      <c r="J18" s="416"/>
      <c r="K18" s="417">
        <f t="shared" si="4"/>
        <v>0.00625</v>
      </c>
      <c r="L18" s="435">
        <f t="shared" si="5"/>
        <v>32.03661382253147</v>
      </c>
      <c r="M18" s="418"/>
      <c r="N18" s="437"/>
      <c r="O18" s="437"/>
      <c r="P18" s="438"/>
      <c r="Q18" s="439"/>
      <c r="R18" s="419">
        <f t="shared" si="6"/>
        <v>0.14790273915872923</v>
      </c>
      <c r="S18" s="546">
        <f t="shared" si="7"/>
        <v>1830.6645026426688</v>
      </c>
      <c r="T18" s="547">
        <f t="shared" si="8"/>
        <v>0.09153322513213345</v>
      </c>
      <c r="U18" s="547"/>
      <c r="V18" s="548"/>
      <c r="W18" s="97"/>
      <c r="X18" s="97"/>
      <c r="Y18" s="97"/>
      <c r="Z18" s="97"/>
      <c r="AA18" s="98"/>
      <c r="AB18" s="11"/>
      <c r="AC18" s="770"/>
      <c r="AD18" s="591"/>
      <c r="AE18" s="771"/>
      <c r="AF18" s="11"/>
      <c r="AH18" s="6"/>
      <c r="AI18" s="100"/>
    </row>
    <row r="19" spans="1:32" ht="12.75" customHeight="1">
      <c r="A19" s="1593" t="str">
        <f>MainForm!B18</f>
        <v>AL_EC &gt;16-21</v>
      </c>
      <c r="B19" s="412">
        <f>MainForm!G18</f>
        <v>300</v>
      </c>
      <c r="C19" s="412">
        <v>1</v>
      </c>
      <c r="D19" s="413">
        <v>0.2</v>
      </c>
      <c r="E19" s="414">
        <f t="shared" si="0"/>
        <v>0.1</v>
      </c>
      <c r="F19" s="414">
        <f t="shared" si="1"/>
        <v>0.5</v>
      </c>
      <c r="G19" s="415">
        <f t="shared" si="2"/>
        <v>2</v>
      </c>
      <c r="H19" s="416">
        <f t="shared" si="3"/>
        <v>1</v>
      </c>
      <c r="I19" s="416"/>
      <c r="J19" s="416"/>
      <c r="K19" s="417">
        <f t="shared" si="4"/>
        <v>0.00022500000000000005</v>
      </c>
      <c r="L19" s="435">
        <f t="shared" si="5"/>
        <v>1.1533180976111332</v>
      </c>
      <c r="M19" s="418"/>
      <c r="N19" s="437"/>
      <c r="O19" s="437"/>
      <c r="P19" s="438"/>
      <c r="Q19" s="439"/>
      <c r="R19" s="419">
        <f t="shared" si="6"/>
        <v>0.35496657398095016</v>
      </c>
      <c r="S19" s="546">
        <f t="shared" si="7"/>
        <v>4393.594806342406</v>
      </c>
      <c r="T19" s="547">
        <f t="shared" si="8"/>
        <v>0.003295196104756805</v>
      </c>
      <c r="U19" s="547"/>
      <c r="V19" s="548"/>
      <c r="W19" s="97"/>
      <c r="X19" s="97"/>
      <c r="Y19" s="97"/>
      <c r="Z19" s="97"/>
      <c r="AA19" s="98"/>
      <c r="AB19" s="11"/>
      <c r="AC19" s="770"/>
      <c r="AD19" s="591"/>
      <c r="AE19" s="771"/>
      <c r="AF19" s="11"/>
    </row>
    <row r="20" spans="1:32" ht="15.75" customHeight="1">
      <c r="A20" s="1594" t="str">
        <f>MainForm!B19</f>
        <v>AL_EC &gt;21-34</v>
      </c>
      <c r="B20" s="1568">
        <f>MainForm!G19</f>
        <v>0</v>
      </c>
      <c r="C20" s="1568">
        <v>1</v>
      </c>
      <c r="D20" s="1569">
        <v>0.2</v>
      </c>
      <c r="E20" s="1570">
        <f t="shared" si="0"/>
        <v>0.1</v>
      </c>
      <c r="F20" s="1570">
        <f t="shared" si="1"/>
        <v>0.5</v>
      </c>
      <c r="G20" s="1571">
        <f t="shared" si="2"/>
        <v>2</v>
      </c>
      <c r="H20" s="1572">
        <f t="shared" si="3"/>
        <v>1</v>
      </c>
      <c r="I20" s="1572"/>
      <c r="J20" s="1572"/>
      <c r="K20" s="1573">
        <f t="shared" si="4"/>
      </c>
      <c r="L20" s="1574">
        <f t="shared" si="5"/>
      </c>
      <c r="M20" s="1575"/>
      <c r="N20" s="1576"/>
      <c r="O20" s="1576"/>
      <c r="P20" s="1577"/>
      <c r="Q20" s="1578"/>
      <c r="R20" s="1579">
        <f t="shared" si="6"/>
        <v>0</v>
      </c>
      <c r="S20" s="1580">
        <f t="shared" si="7"/>
        <v>0</v>
      </c>
      <c r="T20" s="1581">
        <f t="shared" si="8"/>
      </c>
      <c r="U20" s="1581"/>
      <c r="V20" s="1582"/>
      <c r="W20" s="97"/>
      <c r="X20" s="97"/>
      <c r="Y20" s="97"/>
      <c r="Z20" s="97"/>
      <c r="AA20" s="98"/>
      <c r="AB20" s="11"/>
      <c r="AC20" s="770"/>
      <c r="AD20" s="591"/>
      <c r="AE20" s="771"/>
      <c r="AF20" s="11"/>
    </row>
    <row r="21" spans="1:32" ht="16.5" customHeight="1">
      <c r="A21" s="1593" t="str">
        <f>MainForm!B20</f>
        <v>AR_EC &gt;8-10</v>
      </c>
      <c r="B21" s="412">
        <f>MainForm!G20</f>
        <v>1</v>
      </c>
      <c r="C21" s="412">
        <v>1</v>
      </c>
      <c r="D21" s="413">
        <v>0.2</v>
      </c>
      <c r="E21" s="414">
        <f aca="true" t="shared" si="9" ref="E21:E33">VLOOKUP(A21,chemlist2,12,FALSE)</f>
        <v>0.03</v>
      </c>
      <c r="F21" s="414">
        <f aca="true" t="shared" si="10" ref="F21:F33">VLOOKUP(A21,chemlist2,13,FALSE)</f>
        <v>0.8</v>
      </c>
      <c r="G21" s="415">
        <f aca="true" t="shared" si="11" ref="G21:G33">VLOOKUP(A21,chemlist2,8,FALSE)</f>
        <v>0.1</v>
      </c>
      <c r="H21" s="416">
        <f aca="true" t="shared" si="12" ref="H21:H33">F21*G21</f>
        <v>0.08000000000000002</v>
      </c>
      <c r="I21" s="416"/>
      <c r="J21" s="416"/>
      <c r="K21" s="417">
        <f t="shared" si="4"/>
        <v>6.875E-06</v>
      </c>
      <c r="L21" s="435">
        <f t="shared" si="5"/>
        <v>0.03524027520478462</v>
      </c>
      <c r="M21" s="418"/>
      <c r="N21" s="437"/>
      <c r="O21" s="437"/>
      <c r="P21" s="440">
        <f>IF((M21-0.000001)&gt;0,"Fail","")</f>
      </c>
      <c r="Q21" s="441"/>
      <c r="R21" s="419">
        <f aca="true" t="shared" si="13" ref="R21:R43">B21/$B$44</f>
        <v>0.0011832219132698338</v>
      </c>
      <c r="S21" s="546">
        <f t="shared" si="7"/>
        <v>14.645316021141351</v>
      </c>
      <c r="T21" s="547">
        <f t="shared" si="8"/>
        <v>0.00010068654764534677</v>
      </c>
      <c r="U21" s="547"/>
      <c r="V21" s="549">
        <f>IF((U21-0.000001)&gt;0,"Fail","")</f>
      </c>
      <c r="W21" s="97"/>
      <c r="X21" s="97"/>
      <c r="Y21" s="97"/>
      <c r="Z21" s="97"/>
      <c r="AA21" s="98"/>
      <c r="AB21" s="11"/>
      <c r="AC21" s="778" t="s">
        <v>580</v>
      </c>
      <c r="AD21" s="1190" t="s">
        <v>651</v>
      </c>
      <c r="AE21" s="1191"/>
      <c r="AF21" s="11"/>
    </row>
    <row r="22" spans="1:32" ht="15.75" customHeight="1">
      <c r="A22" s="1593" t="str">
        <f>MainForm!B21</f>
        <v>AR_EC &gt;10-12</v>
      </c>
      <c r="B22" s="412">
        <f>MainForm!G21</f>
        <v>24</v>
      </c>
      <c r="C22" s="412">
        <v>1</v>
      </c>
      <c r="D22" s="413">
        <v>0.2</v>
      </c>
      <c r="E22" s="414">
        <f t="shared" si="9"/>
        <v>0.03</v>
      </c>
      <c r="F22" s="414">
        <f t="shared" si="10"/>
        <v>0.8</v>
      </c>
      <c r="G22" s="415">
        <f t="shared" si="11"/>
        <v>0.02</v>
      </c>
      <c r="H22" s="416">
        <f t="shared" si="12"/>
        <v>0.016</v>
      </c>
      <c r="I22" s="416"/>
      <c r="J22" s="416"/>
      <c r="K22" s="417">
        <f t="shared" si="4"/>
        <v>0.000825</v>
      </c>
      <c r="L22" s="435">
        <f t="shared" si="5"/>
        <v>4.228833024574154</v>
      </c>
      <c r="M22" s="418"/>
      <c r="N22" s="437"/>
      <c r="O22" s="437"/>
      <c r="P22" s="440">
        <f>IF((M22-0.000001)&gt;0,"Fail","")</f>
      </c>
      <c r="Q22" s="441"/>
      <c r="R22" s="419">
        <f t="shared" si="13"/>
        <v>0.02839732591847601</v>
      </c>
      <c r="S22" s="546">
        <f t="shared" si="7"/>
        <v>351.4875845073924</v>
      </c>
      <c r="T22" s="547">
        <f t="shared" si="8"/>
        <v>0.012082385717441612</v>
      </c>
      <c r="U22" s="547"/>
      <c r="V22" s="549">
        <f>IF((U22-0.000001)&gt;0,"Fail","")</f>
      </c>
      <c r="W22" s="97"/>
      <c r="X22" s="97"/>
      <c r="Y22" s="97"/>
      <c r="Z22" s="97"/>
      <c r="AA22" s="98"/>
      <c r="AB22" s="11"/>
      <c r="AC22" s="746" t="s">
        <v>494</v>
      </c>
      <c r="AD22" s="1192" t="s">
        <v>627</v>
      </c>
      <c r="AE22" s="779"/>
      <c r="AF22" s="11"/>
    </row>
    <row r="23" spans="1:32" ht="16.5" customHeight="1">
      <c r="A23" s="1593" t="str">
        <f>MainForm!B22</f>
        <v>AR_EC &gt;12-16</v>
      </c>
      <c r="B23" s="412">
        <f>MainForm!G22</f>
        <v>55</v>
      </c>
      <c r="C23" s="412">
        <v>1</v>
      </c>
      <c r="D23" s="413">
        <v>0.2</v>
      </c>
      <c r="E23" s="414">
        <f t="shared" si="9"/>
        <v>0.1</v>
      </c>
      <c r="F23" s="414">
        <f t="shared" si="10"/>
        <v>0.5</v>
      </c>
      <c r="G23" s="415">
        <f t="shared" si="11"/>
        <v>0.05</v>
      </c>
      <c r="H23" s="416">
        <f t="shared" si="12"/>
        <v>0.025</v>
      </c>
      <c r="I23" s="416"/>
      <c r="J23" s="416"/>
      <c r="K23" s="417">
        <f t="shared" si="4"/>
        <v>0.00165</v>
      </c>
      <c r="L23" s="435">
        <f t="shared" si="5"/>
        <v>8.457666049148308</v>
      </c>
      <c r="M23" s="418"/>
      <c r="N23" s="437"/>
      <c r="O23" s="437"/>
      <c r="P23" s="440">
        <f>IF((M23-0.000001)&gt;0,"Fail","")</f>
      </c>
      <c r="Q23" s="441"/>
      <c r="R23" s="419">
        <f t="shared" si="13"/>
        <v>0.06507720522984085</v>
      </c>
      <c r="S23" s="546">
        <f t="shared" si="7"/>
        <v>805.4923811627742</v>
      </c>
      <c r="T23" s="547">
        <f t="shared" si="8"/>
        <v>0.024164771434883225</v>
      </c>
      <c r="U23" s="547"/>
      <c r="V23" s="549">
        <f>IF((U23-0.000001)&gt;0,"Fail","")</f>
      </c>
      <c r="W23" s="97"/>
      <c r="X23" s="97"/>
      <c r="Y23" s="97"/>
      <c r="Z23" s="97"/>
      <c r="AA23" s="98"/>
      <c r="AB23" s="11"/>
      <c r="AC23" s="96"/>
      <c r="AD23" s="594" t="s">
        <v>581</v>
      </c>
      <c r="AE23" s="1193">
        <v>12383.120618316962</v>
      </c>
      <c r="AF23" s="11"/>
    </row>
    <row r="24" spans="1:32" ht="15" customHeight="1">
      <c r="A24" s="1593" t="str">
        <f>MainForm!B23</f>
        <v>AR_EC &gt;16-21</v>
      </c>
      <c r="B24" s="412">
        <f>MainForm!G23</f>
        <v>145</v>
      </c>
      <c r="C24" s="412">
        <v>1</v>
      </c>
      <c r="D24" s="413">
        <v>0.2</v>
      </c>
      <c r="E24" s="414">
        <f t="shared" si="9"/>
        <v>0.1</v>
      </c>
      <c r="F24" s="414">
        <f t="shared" si="10"/>
        <v>0.5</v>
      </c>
      <c r="G24" s="415">
        <f t="shared" si="11"/>
        <v>0.03</v>
      </c>
      <c r="H24" s="416">
        <f t="shared" si="12"/>
        <v>0.015</v>
      </c>
      <c r="I24" s="416"/>
      <c r="J24" s="416"/>
      <c r="K24" s="417">
        <f t="shared" si="4"/>
        <v>0.00725</v>
      </c>
      <c r="L24" s="435">
        <f t="shared" si="5"/>
        <v>37.162472034136506</v>
      </c>
      <c r="M24" s="418"/>
      <c r="N24" s="437"/>
      <c r="O24" s="437"/>
      <c r="P24" s="440">
        <f>IF((M24-0.000001)&gt;0,"Fail","")</f>
      </c>
      <c r="Q24" s="441"/>
      <c r="R24" s="419">
        <f t="shared" si="13"/>
        <v>0.1715671774241259</v>
      </c>
      <c r="S24" s="546">
        <f t="shared" si="7"/>
        <v>2123.5708230654955</v>
      </c>
      <c r="T24" s="547">
        <f t="shared" si="8"/>
        <v>0.1061785411532748</v>
      </c>
      <c r="U24" s="547"/>
      <c r="V24" s="549">
        <f>IF((U24-0.000001)&gt;0,"Fail","")</f>
      </c>
      <c r="W24" s="97"/>
      <c r="X24" s="97"/>
      <c r="Y24" s="97"/>
      <c r="Z24" s="97"/>
      <c r="AA24" s="98"/>
      <c r="AB24" s="11"/>
      <c r="AC24" s="96"/>
      <c r="AD24" s="594" t="s">
        <v>453</v>
      </c>
      <c r="AE24" s="1194">
        <v>0.2861714090284697</v>
      </c>
      <c r="AF24" s="11"/>
    </row>
    <row r="25" spans="1:33" ht="15.75" customHeight="1" thickBot="1">
      <c r="A25" s="1595" t="str">
        <f>MainForm!B24</f>
        <v>AR_EC &gt;21-34</v>
      </c>
      <c r="B25" s="420">
        <f>MainForm!G24</f>
        <v>0</v>
      </c>
      <c r="C25" s="420">
        <v>1</v>
      </c>
      <c r="D25" s="421">
        <v>0.2</v>
      </c>
      <c r="E25" s="422">
        <f t="shared" si="9"/>
        <v>0.1</v>
      </c>
      <c r="F25" s="422">
        <f t="shared" si="10"/>
        <v>0.5</v>
      </c>
      <c r="G25" s="423">
        <f t="shared" si="11"/>
        <v>0.04</v>
      </c>
      <c r="H25" s="424">
        <f t="shared" si="12"/>
        <v>0.02</v>
      </c>
      <c r="I25" s="424"/>
      <c r="J25" s="424"/>
      <c r="K25" s="425">
        <f t="shared" si="4"/>
      </c>
      <c r="L25" s="442">
        <f t="shared" si="5"/>
      </c>
      <c r="M25" s="426"/>
      <c r="N25" s="443"/>
      <c r="O25" s="443"/>
      <c r="P25" s="444">
        <f>IF((M25-0.000001)&gt;0,"Fail","")</f>
      </c>
      <c r="Q25" s="445"/>
      <c r="R25" s="427">
        <f t="shared" si="13"/>
        <v>0</v>
      </c>
      <c r="S25" s="550">
        <f t="shared" si="7"/>
        <v>0</v>
      </c>
      <c r="T25" s="551">
        <f t="shared" si="8"/>
      </c>
      <c r="U25" s="551"/>
      <c r="V25" s="552">
        <f>IF((U25-0.000001)&gt;0,"Fail","")</f>
      </c>
      <c r="W25" s="97"/>
      <c r="X25" s="97"/>
      <c r="Y25" s="97"/>
      <c r="Z25" s="97"/>
      <c r="AA25" s="98"/>
      <c r="AB25" s="11"/>
      <c r="AC25" s="780"/>
      <c r="AD25" s="604" t="s">
        <v>516</v>
      </c>
      <c r="AE25" s="1195">
        <v>1.0001E-05</v>
      </c>
      <c r="AF25" s="11"/>
      <c r="AG25" s="86"/>
    </row>
    <row r="26" spans="1:32" ht="15" customHeight="1" thickBot="1">
      <c r="A26" s="1593" t="str">
        <f>MainForm!B25</f>
        <v>Benzene</v>
      </c>
      <c r="B26" s="412">
        <f>MainForm!G25</f>
        <v>0.03</v>
      </c>
      <c r="C26" s="412">
        <v>1</v>
      </c>
      <c r="D26" s="413">
        <v>0.2</v>
      </c>
      <c r="E26" s="414">
        <f t="shared" si="9"/>
        <v>0.0005</v>
      </c>
      <c r="F26" s="414">
        <f t="shared" si="10"/>
        <v>0.95</v>
      </c>
      <c r="G26" s="415">
        <f t="shared" si="11"/>
        <v>0.004</v>
      </c>
      <c r="H26" s="416">
        <f t="shared" si="12"/>
        <v>0.0038</v>
      </c>
      <c r="I26" s="416">
        <f>VLOOKUP(A26,chemlist2,14,FALSE)</f>
        <v>0.055</v>
      </c>
      <c r="J26" s="416">
        <f>I26/F26</f>
        <v>0.05789473684210526</v>
      </c>
      <c r="K26" s="417">
        <f t="shared" si="4"/>
        <v>3.769736842105263E-06</v>
      </c>
      <c r="L26" s="435">
        <f t="shared" si="5"/>
        <v>0.019323136547695297</v>
      </c>
      <c r="M26" s="446">
        <f>B26*(EF*ED*((SIR*C26*I26/(1000000))+(SA*D26*E26*J26/(1000000))))/(ABW*AT_C)</f>
        <v>2.211578947368421E-10</v>
      </c>
      <c r="N26" s="437"/>
      <c r="O26" s="437"/>
      <c r="P26" s="440"/>
      <c r="Q26" s="441"/>
      <c r="R26" s="419">
        <f t="shared" si="13"/>
        <v>3.549665739809501E-05</v>
      </c>
      <c r="S26" s="546">
        <f t="shared" si="7"/>
        <v>0.4393594806342405</v>
      </c>
      <c r="T26" s="547">
        <f t="shared" si="8"/>
        <v>5.520898736917101E-05</v>
      </c>
      <c r="U26" s="547">
        <f>(S26*(EF*ED*((SIR*C26*I26/(1000000))+(SA*D26*E26*J26/(1000000)))))/(ABW*AT_C)</f>
        <v>3.2389272589913656E-09</v>
      </c>
      <c r="V26" s="549"/>
      <c r="W26" s="97"/>
      <c r="X26" s="97"/>
      <c r="Y26" s="97"/>
      <c r="Z26" s="97"/>
      <c r="AA26" s="98"/>
      <c r="AB26" s="11"/>
      <c r="AC26" s="2106" t="str">
        <f>IF(dc_induse_PF="YES",IF(dc_induse_tph&gt;1000,"Check Residual Saturation (WAC340-747(10))",""),"")</f>
        <v>Check Residual Saturation (WAC340-747(10))</v>
      </c>
      <c r="AD26" s="2107"/>
      <c r="AE26" s="2108"/>
      <c r="AF26" s="11"/>
    </row>
    <row r="27" spans="1:33" ht="12.75" customHeight="1" thickBot="1">
      <c r="A27" s="1593" t="str">
        <f>MainForm!B26</f>
        <v>Toluene</v>
      </c>
      <c r="B27" s="412">
        <f>MainForm!G26</f>
        <v>5</v>
      </c>
      <c r="C27" s="412">
        <v>1</v>
      </c>
      <c r="D27" s="413">
        <v>0.2</v>
      </c>
      <c r="E27" s="414">
        <f t="shared" si="9"/>
        <v>0.03</v>
      </c>
      <c r="F27" s="414">
        <f t="shared" si="10"/>
        <v>1</v>
      </c>
      <c r="G27" s="415">
        <f t="shared" si="11"/>
        <v>0.08</v>
      </c>
      <c r="H27" s="416">
        <f t="shared" si="12"/>
        <v>0.08</v>
      </c>
      <c r="I27" s="416"/>
      <c r="J27" s="416"/>
      <c r="K27" s="417">
        <f t="shared" si="4"/>
        <v>4.0625000000000005E-05</v>
      </c>
      <c r="L27" s="435">
        <f t="shared" si="5"/>
        <v>0.20823798984645456</v>
      </c>
      <c r="M27" s="446"/>
      <c r="N27" s="437"/>
      <c r="O27" s="437"/>
      <c r="P27" s="440"/>
      <c r="Q27" s="441"/>
      <c r="R27" s="419">
        <f t="shared" si="13"/>
        <v>0.005916109566349169</v>
      </c>
      <c r="S27" s="546">
        <f t="shared" si="7"/>
        <v>73.22658010570674</v>
      </c>
      <c r="T27" s="547">
        <f t="shared" si="8"/>
        <v>0.0005949659633588673</v>
      </c>
      <c r="U27" s="547"/>
      <c r="V27" s="549"/>
      <c r="W27" s="97"/>
      <c r="X27" s="97"/>
      <c r="Y27" s="97"/>
      <c r="Z27" s="97"/>
      <c r="AA27" s="98"/>
      <c r="AB27" s="11"/>
      <c r="AC27" s="2104">
        <f>IF(AD22="Pass",IF(AE23&gt;1000,"Check Residual Saturation (WAC340-747(10))",""),"")</f>
      </c>
      <c r="AD27" s="2105"/>
      <c r="AE27" s="2105"/>
      <c r="AF27" s="11"/>
      <c r="AG27" s="99"/>
    </row>
    <row r="28" spans="1:33" ht="12.75" customHeight="1" thickBot="1">
      <c r="A28" s="1593" t="str">
        <f>MainForm!B27</f>
        <v>Ethylbenzene</v>
      </c>
      <c r="B28" s="412">
        <f>MainForm!G27</f>
        <v>7</v>
      </c>
      <c r="C28" s="412">
        <v>1</v>
      </c>
      <c r="D28" s="413">
        <v>0.2</v>
      </c>
      <c r="E28" s="414">
        <f t="shared" si="9"/>
        <v>0.03</v>
      </c>
      <c r="F28" s="414">
        <f t="shared" si="10"/>
        <v>0.92</v>
      </c>
      <c r="G28" s="415">
        <f t="shared" si="11"/>
        <v>0.1</v>
      </c>
      <c r="H28" s="416">
        <f t="shared" si="12"/>
        <v>0.09200000000000001</v>
      </c>
      <c r="I28" s="416"/>
      <c r="J28" s="416"/>
      <c r="K28" s="417">
        <f t="shared" si="4"/>
        <v>4.641304347826087E-05</v>
      </c>
      <c r="L28" s="435">
        <f t="shared" si="5"/>
        <v>0.237906680038625</v>
      </c>
      <c r="M28" s="446"/>
      <c r="N28" s="437"/>
      <c r="O28" s="437"/>
      <c r="P28" s="440"/>
      <c r="Q28" s="441"/>
      <c r="R28" s="419">
        <f t="shared" si="13"/>
        <v>0.008282553392888836</v>
      </c>
      <c r="S28" s="546">
        <f t="shared" si="7"/>
        <v>102.51721214798944</v>
      </c>
      <c r="T28" s="547">
        <f t="shared" si="8"/>
        <v>0.0006797336892421039</v>
      </c>
      <c r="U28" s="547"/>
      <c r="V28" s="549"/>
      <c r="W28" s="97"/>
      <c r="X28" s="97"/>
      <c r="Y28" s="97"/>
      <c r="Z28" s="97"/>
      <c r="AA28" s="98"/>
      <c r="AB28" s="11"/>
      <c r="AC28" s="1869" t="s">
        <v>517</v>
      </c>
      <c r="AD28" s="1870"/>
      <c r="AE28" s="1871"/>
      <c r="AF28" s="11"/>
      <c r="AG28" s="6"/>
    </row>
    <row r="29" spans="1:33" ht="12.75" customHeight="1" thickBot="1" thickTop="1">
      <c r="A29" s="1595" t="str">
        <f>MainForm!B28</f>
        <v>Total Xylenes</v>
      </c>
      <c r="B29" s="420">
        <f>MainForm!G28</f>
        <v>13</v>
      </c>
      <c r="C29" s="420">
        <v>1</v>
      </c>
      <c r="D29" s="421">
        <v>0.2</v>
      </c>
      <c r="E29" s="422">
        <f t="shared" si="9"/>
        <v>0.03</v>
      </c>
      <c r="F29" s="422">
        <f t="shared" si="10"/>
        <v>0.9</v>
      </c>
      <c r="G29" s="423">
        <f t="shared" si="11"/>
        <v>0.2</v>
      </c>
      <c r="H29" s="424">
        <f t="shared" si="12"/>
        <v>0.18000000000000002</v>
      </c>
      <c r="I29" s="424"/>
      <c r="J29" s="424"/>
      <c r="K29" s="425">
        <f t="shared" si="4"/>
        <v>4.333333333333333E-05</v>
      </c>
      <c r="L29" s="442">
        <f t="shared" si="5"/>
        <v>0.22212052250288486</v>
      </c>
      <c r="M29" s="447"/>
      <c r="N29" s="443"/>
      <c r="O29" s="443"/>
      <c r="P29" s="444"/>
      <c r="Q29" s="445"/>
      <c r="R29" s="427">
        <f t="shared" si="13"/>
        <v>0.015381884872507839</v>
      </c>
      <c r="S29" s="550">
        <f t="shared" si="7"/>
        <v>190.38910827483755</v>
      </c>
      <c r="T29" s="551">
        <f t="shared" si="8"/>
        <v>0.0006346303609161251</v>
      </c>
      <c r="U29" s="551"/>
      <c r="V29" s="552"/>
      <c r="W29" s="101"/>
      <c r="X29" s="97"/>
      <c r="Y29" s="97"/>
      <c r="Z29" s="97"/>
      <c r="AA29" s="98"/>
      <c r="AB29" s="11"/>
      <c r="AC29" s="655"/>
      <c r="AD29" s="222"/>
      <c r="AE29" s="673"/>
      <c r="AF29" s="11"/>
      <c r="AG29" s="6"/>
    </row>
    <row r="30" spans="1:33" ht="12.75" customHeight="1">
      <c r="A30" s="1593" t="str">
        <f>MainForm!B29</f>
        <v>Naphthalene</v>
      </c>
      <c r="B30" s="412">
        <f>MainForm!G29</f>
        <v>15</v>
      </c>
      <c r="C30" s="412">
        <v>1</v>
      </c>
      <c r="D30" s="413">
        <v>0.2</v>
      </c>
      <c r="E30" s="414">
        <f t="shared" si="9"/>
        <v>0.13</v>
      </c>
      <c r="F30" s="448">
        <f t="shared" si="10"/>
        <v>0.89</v>
      </c>
      <c r="G30" s="415">
        <f t="shared" si="11"/>
        <v>0.02</v>
      </c>
      <c r="H30" s="416">
        <f t="shared" si="12"/>
        <v>0.0178</v>
      </c>
      <c r="I30" s="416"/>
      <c r="J30" s="416"/>
      <c r="K30" s="417">
        <f aca="true" t="shared" si="14" ref="K30:K43">IF(B30=0,"",IF(ISERROR((B30*(EF*ED*((SIR*C30/(1000000*G30))+(SA*D30*E30/(H30*1000000)))))/(ABW*AT)),"",(B30*(EF*ED*((SIR*C30/(1000000*G30))+(SA*D30*E30/(H30*1000000)))))/(ABW*AT)))</f>
        <v>0.0009227528089887641</v>
      </c>
      <c r="L30" s="435">
        <f t="shared" si="5"/>
        <v>4.729900063236669</v>
      </c>
      <c r="M30" s="446"/>
      <c r="N30" s="437"/>
      <c r="O30" s="437"/>
      <c r="P30" s="440"/>
      <c r="Q30" s="441"/>
      <c r="R30" s="419">
        <f t="shared" si="13"/>
        <v>0.017748328699047508</v>
      </c>
      <c r="S30" s="546">
        <f t="shared" si="7"/>
        <v>219.67974031712026</v>
      </c>
      <c r="T30" s="547">
        <f aca="true" t="shared" si="15" ref="T30:T43">IF(ISERROR((S30*(EF*ED*((SIR*C30/(1000000*G30))+(SA*D30*E30/(H30*1000000)))))/(ABW*AT)),"",(S30*(EF*ED*((SIR*C30/(1000000*G30))+(SA*D30*E30/(H30*1000000)))))/(ABW*AT))</f>
        <v>0.01351400649703633</v>
      </c>
      <c r="U30" s="547"/>
      <c r="V30" s="549"/>
      <c r="W30" s="97"/>
      <c r="X30" s="97"/>
      <c r="Y30" s="97"/>
      <c r="Z30" s="97"/>
      <c r="AA30" s="98"/>
      <c r="AB30" s="11"/>
      <c r="AC30" s="655"/>
      <c r="AD30" s="222"/>
      <c r="AE30" s="673"/>
      <c r="AF30" s="11"/>
      <c r="AG30" s="6"/>
    </row>
    <row r="31" spans="1:33" ht="12.75" customHeight="1">
      <c r="A31" s="1593" t="str">
        <f>MainForm!B30</f>
        <v>1-Methyl Naphthalene</v>
      </c>
      <c r="B31" s="412">
        <f>MainForm!G30</f>
        <v>0</v>
      </c>
      <c r="C31" s="412">
        <v>1</v>
      </c>
      <c r="D31" s="413">
        <v>0.2</v>
      </c>
      <c r="E31" s="414">
        <f t="shared" si="9"/>
        <v>0.01</v>
      </c>
      <c r="F31" s="414">
        <f t="shared" si="10"/>
        <v>0.8</v>
      </c>
      <c r="G31" s="415">
        <f t="shared" si="11"/>
        <v>0.05</v>
      </c>
      <c r="H31" s="416">
        <f t="shared" si="12"/>
        <v>0.04000000000000001</v>
      </c>
      <c r="I31" s="416"/>
      <c r="J31" s="416"/>
      <c r="K31" s="417">
        <f t="shared" si="14"/>
      </c>
      <c r="L31" s="435">
        <f t="shared" si="5"/>
      </c>
      <c r="M31" s="446"/>
      <c r="N31" s="437"/>
      <c r="O31" s="437"/>
      <c r="P31" s="440"/>
      <c r="Q31" s="441"/>
      <c r="R31" s="419">
        <f t="shared" si="13"/>
        <v>0</v>
      </c>
      <c r="S31" s="546">
        <f t="shared" si="7"/>
        <v>0</v>
      </c>
      <c r="T31" s="547">
        <f t="shared" si="15"/>
        <v>0</v>
      </c>
      <c r="U31" s="547"/>
      <c r="V31" s="549"/>
      <c r="W31" s="97"/>
      <c r="X31" s="97"/>
      <c r="Y31" s="97"/>
      <c r="Z31" s="97"/>
      <c r="AA31" s="98"/>
      <c r="AB31" s="11"/>
      <c r="AC31" s="655"/>
      <c r="AD31" s="222"/>
      <c r="AE31" s="673"/>
      <c r="AF31" s="11"/>
      <c r="AG31" s="6"/>
    </row>
    <row r="32" spans="1:32" ht="12.75" customHeight="1">
      <c r="A32" s="1593" t="str">
        <f>MainForm!B31</f>
        <v>2-Methyl Naphthalene</v>
      </c>
      <c r="B32" s="412">
        <f>MainForm!G31</f>
        <v>0</v>
      </c>
      <c r="C32" s="412">
        <v>1</v>
      </c>
      <c r="D32" s="413">
        <v>0.2</v>
      </c>
      <c r="E32" s="414">
        <f t="shared" si="9"/>
        <v>0.01</v>
      </c>
      <c r="F32" s="414">
        <f t="shared" si="10"/>
        <v>0.8</v>
      </c>
      <c r="G32" s="415">
        <f t="shared" si="11"/>
        <v>0.004</v>
      </c>
      <c r="H32" s="416">
        <f t="shared" si="12"/>
        <v>0.0032</v>
      </c>
      <c r="I32" s="416"/>
      <c r="J32" s="416"/>
      <c r="K32" s="417">
        <f t="shared" si="14"/>
      </c>
      <c r="L32" s="435">
        <f t="shared" si="5"/>
      </c>
      <c r="M32" s="446"/>
      <c r="N32" s="437"/>
      <c r="O32" s="437"/>
      <c r="P32" s="440"/>
      <c r="Q32" s="441"/>
      <c r="R32" s="419">
        <f t="shared" si="13"/>
        <v>0</v>
      </c>
      <c r="S32" s="546">
        <f t="shared" si="7"/>
        <v>0</v>
      </c>
      <c r="T32" s="547">
        <f t="shared" si="15"/>
        <v>0</v>
      </c>
      <c r="U32" s="547"/>
      <c r="V32" s="549"/>
      <c r="W32" s="97"/>
      <c r="X32" s="97"/>
      <c r="Y32" s="97"/>
      <c r="Z32" s="97"/>
      <c r="AA32" s="98"/>
      <c r="AB32" s="11"/>
      <c r="AC32" s="674"/>
      <c r="AD32" s="593"/>
      <c r="AE32" s="675"/>
      <c r="AF32" s="11"/>
    </row>
    <row r="33" spans="1:32" ht="12.75" customHeight="1">
      <c r="A33" s="1593" t="str">
        <f>MainForm!B32</f>
        <v>n-Hexane</v>
      </c>
      <c r="B33" s="412">
        <f>MainForm!G32</f>
        <v>0</v>
      </c>
      <c r="C33" s="412">
        <v>1</v>
      </c>
      <c r="D33" s="413">
        <v>0.2</v>
      </c>
      <c r="E33" s="414">
        <f t="shared" si="9"/>
        <v>0.03</v>
      </c>
      <c r="F33" s="414">
        <f t="shared" si="10"/>
        <v>0.8</v>
      </c>
      <c r="G33" s="415">
        <f t="shared" si="11"/>
        <v>0.06</v>
      </c>
      <c r="H33" s="416">
        <f t="shared" si="12"/>
        <v>0.048</v>
      </c>
      <c r="I33" s="416"/>
      <c r="J33" s="416"/>
      <c r="K33" s="417">
        <f t="shared" si="14"/>
      </c>
      <c r="L33" s="435">
        <f aca="true" t="shared" si="16" ref="L33:L43">IF(B33=0,"",IF(ISBLANK(G33)," ",100*K33/$K$44))</f>
      </c>
      <c r="M33" s="446"/>
      <c r="N33" s="437"/>
      <c r="O33" s="437"/>
      <c r="P33" s="440"/>
      <c r="Q33" s="441"/>
      <c r="R33" s="419">
        <f t="shared" si="13"/>
        <v>0</v>
      </c>
      <c r="S33" s="546">
        <f t="shared" si="7"/>
        <v>0</v>
      </c>
      <c r="T33" s="547">
        <f t="shared" si="15"/>
        <v>0</v>
      </c>
      <c r="U33" s="547"/>
      <c r="V33" s="549"/>
      <c r="W33" s="97"/>
      <c r="X33" s="97"/>
      <c r="Y33" s="97"/>
      <c r="Z33" s="97"/>
      <c r="AA33" s="98"/>
      <c r="AB33" s="11" t="s">
        <v>93</v>
      </c>
      <c r="AC33" s="676"/>
      <c r="AD33" s="677"/>
      <c r="AE33" s="678"/>
      <c r="AF33" s="11"/>
    </row>
    <row r="34" spans="1:32" ht="12.75">
      <c r="A34" s="1593" t="str">
        <f>MainForm!B33</f>
        <v>MTBE</v>
      </c>
      <c r="B34" s="412">
        <f>MainForm!G33</f>
        <v>0</v>
      </c>
      <c r="C34" s="412"/>
      <c r="D34" s="413"/>
      <c r="E34" s="414"/>
      <c r="F34" s="414"/>
      <c r="G34" s="415"/>
      <c r="H34" s="416"/>
      <c r="I34" s="416"/>
      <c r="J34" s="416"/>
      <c r="K34" s="417">
        <f t="shared" si="14"/>
      </c>
      <c r="L34" s="435">
        <f t="shared" si="16"/>
      </c>
      <c r="M34" s="446"/>
      <c r="N34" s="437"/>
      <c r="O34" s="437"/>
      <c r="P34" s="440"/>
      <c r="Q34" s="441"/>
      <c r="R34" s="419">
        <f t="shared" si="13"/>
        <v>0</v>
      </c>
      <c r="S34" s="546">
        <f t="shared" si="7"/>
        <v>0</v>
      </c>
      <c r="T34" s="547">
        <f t="shared" si="15"/>
      </c>
      <c r="U34" s="547"/>
      <c r="V34" s="549"/>
      <c r="W34" s="97"/>
      <c r="X34" s="97"/>
      <c r="Y34" s="97"/>
      <c r="Z34" s="97"/>
      <c r="AA34" s="98"/>
      <c r="AB34" s="11"/>
      <c r="AC34" s="738"/>
      <c r="AD34" s="601"/>
      <c r="AE34" s="739"/>
      <c r="AF34" s="11"/>
    </row>
    <row r="35" spans="1:32" ht="12.75">
      <c r="A35" s="1593" t="str">
        <f>MainForm!B34</f>
        <v>Ethylene Dibromide (EDB)</v>
      </c>
      <c r="B35" s="412">
        <f>MainForm!G34</f>
        <v>0</v>
      </c>
      <c r="C35" s="412">
        <v>1</v>
      </c>
      <c r="D35" s="413">
        <v>0.2</v>
      </c>
      <c r="E35" s="414">
        <f aca="true" t="shared" si="17" ref="E35:E43">VLOOKUP(A35,chemlist2,12,FALSE)</f>
        <v>0.03</v>
      </c>
      <c r="F35" s="414">
        <f aca="true" t="shared" si="18" ref="F35:F43">VLOOKUP(A35,chemlist2,13,FALSE)</f>
        <v>0.8</v>
      </c>
      <c r="G35" s="415">
        <f>VLOOKUP(A35,chemlist2,8,FALSE)</f>
        <v>0.009</v>
      </c>
      <c r="H35" s="416">
        <f aca="true" t="shared" si="19" ref="H35:H43">F35*G35</f>
        <v>0.0072</v>
      </c>
      <c r="I35" s="416">
        <f aca="true" t="shared" si="20" ref="I35:I43">VLOOKUP(A35,chemlist2,14,FALSE)</f>
        <v>85</v>
      </c>
      <c r="J35" s="416">
        <f aca="true" t="shared" si="21" ref="J35:J43">I35/F35</f>
        <v>106.25</v>
      </c>
      <c r="K35" s="417">
        <f t="shared" si="14"/>
      </c>
      <c r="L35" s="435">
        <f t="shared" si="16"/>
      </c>
      <c r="M35" s="446">
        <f aca="true" t="shared" si="22" ref="M35:M43">B35*(EF*ED*((SIR*C35*I35/(1000000))+(SA*D35*E35*J35/(1000000))))/(ABW*AT_C)</f>
        <v>0</v>
      </c>
      <c r="N35" s="437"/>
      <c r="O35" s="437"/>
      <c r="P35" s="440"/>
      <c r="Q35" s="441"/>
      <c r="R35" s="419">
        <f t="shared" si="13"/>
        <v>0</v>
      </c>
      <c r="S35" s="546">
        <f t="shared" si="7"/>
        <v>0</v>
      </c>
      <c r="T35" s="547">
        <f t="shared" si="15"/>
        <v>0</v>
      </c>
      <c r="U35" s="547">
        <f aca="true" t="shared" si="23" ref="U35:U43">IF(ISERROR((S35*(EF*ED*((SIR*C35*I35/(1000000))+(SA*D35*E35*J35/(1000000)))))/(ABW*AT_C)),"",(S35*(EF*ED*((SIR*C35*I35/(1000000))+(SA*D35*E35*J35/(1000000)))))/(ABW*AT_C))</f>
        <v>0</v>
      </c>
      <c r="V35" s="549"/>
      <c r="W35" s="97"/>
      <c r="X35" s="97"/>
      <c r="Y35" s="97"/>
      <c r="Z35" s="97"/>
      <c r="AA35" s="98"/>
      <c r="AB35" s="11"/>
      <c r="AC35" s="655"/>
      <c r="AD35" s="594" t="s">
        <v>522</v>
      </c>
      <c r="AE35" s="734"/>
      <c r="AF35" s="11"/>
    </row>
    <row r="36" spans="1:32" ht="13.5" thickBot="1">
      <c r="A36" s="1595" t="str">
        <f>MainForm!B35</f>
        <v>1,2 Dichloroethane (EDC)</v>
      </c>
      <c r="B36" s="420">
        <f>MainForm!G35</f>
        <v>0</v>
      </c>
      <c r="C36" s="420">
        <v>1</v>
      </c>
      <c r="D36" s="421">
        <v>0.2</v>
      </c>
      <c r="E36" s="422">
        <f t="shared" si="17"/>
        <v>0.03</v>
      </c>
      <c r="F36" s="422">
        <f t="shared" si="18"/>
        <v>0.8</v>
      </c>
      <c r="G36" s="423">
        <f>VLOOKUP(A36,chemlist2,8,FALSE)</f>
        <v>0.03</v>
      </c>
      <c r="H36" s="424">
        <f t="shared" si="19"/>
        <v>0.024</v>
      </c>
      <c r="I36" s="424">
        <f t="shared" si="20"/>
        <v>0.091</v>
      </c>
      <c r="J36" s="424">
        <f t="shared" si="21"/>
        <v>0.11374999999999999</v>
      </c>
      <c r="K36" s="425">
        <f t="shared" si="14"/>
      </c>
      <c r="L36" s="442">
        <f t="shared" si="16"/>
      </c>
      <c r="M36" s="447">
        <f t="shared" si="22"/>
        <v>0</v>
      </c>
      <c r="N36" s="443"/>
      <c r="O36" s="443"/>
      <c r="P36" s="444"/>
      <c r="Q36" s="445"/>
      <c r="R36" s="427">
        <f t="shared" si="13"/>
        <v>0</v>
      </c>
      <c r="S36" s="550">
        <f t="shared" si="7"/>
        <v>0</v>
      </c>
      <c r="T36" s="551">
        <f t="shared" si="15"/>
        <v>0</v>
      </c>
      <c r="U36" s="551">
        <f t="shared" si="23"/>
        <v>0</v>
      </c>
      <c r="V36" s="552"/>
      <c r="W36" s="97"/>
      <c r="X36" s="97"/>
      <c r="Y36" s="97"/>
      <c r="Z36" s="97"/>
      <c r="AA36" s="98"/>
      <c r="AB36" s="11"/>
      <c r="AC36" s="655"/>
      <c r="AD36" s="594" t="s">
        <v>264</v>
      </c>
      <c r="AE36" s="733"/>
      <c r="AF36" s="11"/>
    </row>
    <row r="37" spans="1:32" ht="12.75">
      <c r="A37" s="1593" t="str">
        <f>MainForm!B36</f>
        <v>Benzo(a)anthracene</v>
      </c>
      <c r="B37" s="412">
        <f>MainForm!G36</f>
        <v>0</v>
      </c>
      <c r="C37" s="412">
        <v>1</v>
      </c>
      <c r="D37" s="413">
        <v>0.2</v>
      </c>
      <c r="E37" s="414">
        <f t="shared" si="17"/>
        <v>0.13</v>
      </c>
      <c r="F37" s="414">
        <f t="shared" si="18"/>
        <v>0.89</v>
      </c>
      <c r="G37" s="415"/>
      <c r="H37" s="416">
        <f t="shared" si="19"/>
        <v>0</v>
      </c>
      <c r="I37" s="416">
        <f t="shared" si="20"/>
        <v>0.73</v>
      </c>
      <c r="J37" s="416">
        <f t="shared" si="21"/>
        <v>0.8202247191011236</v>
      </c>
      <c r="K37" s="417">
        <f t="shared" si="14"/>
      </c>
      <c r="L37" s="435">
        <f t="shared" si="16"/>
      </c>
      <c r="M37" s="446">
        <f t="shared" si="22"/>
        <v>0</v>
      </c>
      <c r="N37" s="437"/>
      <c r="O37" s="437"/>
      <c r="P37" s="440"/>
      <c r="Q37" s="441"/>
      <c r="R37" s="419">
        <f t="shared" si="13"/>
        <v>0</v>
      </c>
      <c r="S37" s="546">
        <f t="shared" si="7"/>
        <v>0</v>
      </c>
      <c r="T37" s="547">
        <f t="shared" si="15"/>
      </c>
      <c r="U37" s="547">
        <f t="shared" si="23"/>
        <v>0</v>
      </c>
      <c r="V37" s="549"/>
      <c r="W37" s="97"/>
      <c r="X37" s="97"/>
      <c r="Y37" s="97"/>
      <c r="Z37" s="97"/>
      <c r="AA37" s="98"/>
      <c r="AB37" s="11"/>
      <c r="AC37" s="736"/>
      <c r="AD37" s="737" t="s">
        <v>521</v>
      </c>
      <c r="AE37" s="757"/>
      <c r="AF37" s="11"/>
    </row>
    <row r="38" spans="1:32" ht="12.75">
      <c r="A38" s="1593" t="str">
        <f>MainForm!B37</f>
        <v>Benzo(b)fluoranthene</v>
      </c>
      <c r="B38" s="412">
        <f>MainForm!G37</f>
        <v>0</v>
      </c>
      <c r="C38" s="412">
        <v>1</v>
      </c>
      <c r="D38" s="413">
        <v>0.2</v>
      </c>
      <c r="E38" s="414">
        <f t="shared" si="17"/>
        <v>0.13</v>
      </c>
      <c r="F38" s="414">
        <f t="shared" si="18"/>
        <v>0.89</v>
      </c>
      <c r="G38" s="415"/>
      <c r="H38" s="416">
        <f t="shared" si="19"/>
        <v>0</v>
      </c>
      <c r="I38" s="416">
        <f t="shared" si="20"/>
        <v>0.73</v>
      </c>
      <c r="J38" s="416">
        <f t="shared" si="21"/>
        <v>0.8202247191011236</v>
      </c>
      <c r="K38" s="417">
        <f t="shared" si="14"/>
      </c>
      <c r="L38" s="435">
        <f t="shared" si="16"/>
      </c>
      <c r="M38" s="446">
        <f t="shared" si="22"/>
        <v>0</v>
      </c>
      <c r="N38" s="437"/>
      <c r="O38" s="437"/>
      <c r="P38" s="440"/>
      <c r="Q38" s="441"/>
      <c r="R38" s="419">
        <f t="shared" si="13"/>
        <v>0</v>
      </c>
      <c r="S38" s="546">
        <f t="shared" si="7"/>
        <v>0</v>
      </c>
      <c r="T38" s="547">
        <f t="shared" si="15"/>
      </c>
      <c r="U38" s="547">
        <f t="shared" si="23"/>
        <v>0</v>
      </c>
      <c r="V38" s="549"/>
      <c r="W38" s="97"/>
      <c r="X38" s="97"/>
      <c r="Y38" s="97"/>
      <c r="Z38" s="97"/>
      <c r="AA38" s="98"/>
      <c r="AB38" s="11"/>
      <c r="AC38" s="740"/>
      <c r="AD38" s="763" t="s">
        <v>214</v>
      </c>
      <c r="AE38" s="741"/>
      <c r="AF38" s="11"/>
    </row>
    <row r="39" spans="1:32" ht="13.5" thickBot="1">
      <c r="A39" s="1593" t="str">
        <f>MainForm!B38</f>
        <v>Benzo(k)fluoranthene</v>
      </c>
      <c r="B39" s="412">
        <f>MainForm!G38</f>
        <v>1</v>
      </c>
      <c r="C39" s="412">
        <v>1</v>
      </c>
      <c r="D39" s="413">
        <v>0.2</v>
      </c>
      <c r="E39" s="414">
        <f t="shared" si="17"/>
        <v>0.13</v>
      </c>
      <c r="F39" s="414">
        <f t="shared" si="18"/>
        <v>0.89</v>
      </c>
      <c r="G39" s="415"/>
      <c r="H39" s="416">
        <f t="shared" si="19"/>
        <v>0</v>
      </c>
      <c r="I39" s="416">
        <f t="shared" si="20"/>
        <v>0.73</v>
      </c>
      <c r="J39" s="416">
        <f t="shared" si="21"/>
        <v>0.8202247191011236</v>
      </c>
      <c r="K39" s="417">
        <f t="shared" si="14"/>
      </c>
      <c r="L39" s="435" t="str">
        <f t="shared" si="16"/>
        <v> </v>
      </c>
      <c r="M39" s="446">
        <f t="shared" si="22"/>
        <v>2.3950561797752815E-07</v>
      </c>
      <c r="N39" s="437"/>
      <c r="O39" s="437"/>
      <c r="P39" s="440"/>
      <c r="Q39" s="441"/>
      <c r="R39" s="419">
        <f t="shared" si="13"/>
        <v>0.0011832219132698338</v>
      </c>
      <c r="S39" s="546">
        <f t="shared" si="7"/>
        <v>14.645316021141351</v>
      </c>
      <c r="T39" s="547">
        <f t="shared" si="15"/>
      </c>
      <c r="U39" s="547">
        <f t="shared" si="23"/>
        <v>3.5076354641196523E-06</v>
      </c>
      <c r="V39" s="549"/>
      <c r="W39" s="97"/>
      <c r="X39" s="97"/>
      <c r="Y39" s="97"/>
      <c r="Z39" s="97"/>
      <c r="AA39" s="98"/>
      <c r="AB39" s="11"/>
      <c r="AC39" s="2095">
        <f>IF(dc_induse_PF_test="Pass",IF(dc_induse_tph_TEST&gt;1000,"Check Residual Saturation (WAC340-747(10))",""),"")</f>
      </c>
      <c r="AD39" s="2096"/>
      <c r="AE39" s="2097"/>
      <c r="AF39" s="11"/>
    </row>
    <row r="40" spans="1:32" ht="12.75">
      <c r="A40" s="1593" t="str">
        <f>MainForm!B39</f>
        <v>Benzo(a)pyrene</v>
      </c>
      <c r="B40" s="412">
        <f>MainForm!G39</f>
        <v>0.07</v>
      </c>
      <c r="C40" s="412">
        <v>1</v>
      </c>
      <c r="D40" s="413">
        <v>0.2</v>
      </c>
      <c r="E40" s="414">
        <f t="shared" si="17"/>
        <v>0.13</v>
      </c>
      <c r="F40" s="414">
        <f t="shared" si="18"/>
        <v>0.89</v>
      </c>
      <c r="G40" s="415"/>
      <c r="H40" s="416">
        <f t="shared" si="19"/>
        <v>0</v>
      </c>
      <c r="I40" s="416">
        <f t="shared" si="20"/>
        <v>7.3</v>
      </c>
      <c r="J40" s="416">
        <f t="shared" si="21"/>
        <v>8.202247191011235</v>
      </c>
      <c r="K40" s="417">
        <f t="shared" si="14"/>
      </c>
      <c r="L40" s="435" t="str">
        <f t="shared" si="16"/>
        <v> </v>
      </c>
      <c r="M40" s="446">
        <f t="shared" si="22"/>
        <v>1.676539325842697E-07</v>
      </c>
      <c r="N40" s="437"/>
      <c r="O40" s="437"/>
      <c r="P40" s="440"/>
      <c r="Q40" s="441"/>
      <c r="R40" s="419">
        <f t="shared" si="13"/>
        <v>8.282553392888837E-05</v>
      </c>
      <c r="S40" s="546">
        <f t="shared" si="7"/>
        <v>1.0251721214798946</v>
      </c>
      <c r="T40" s="547">
        <f t="shared" si="15"/>
      </c>
      <c r="U40" s="547">
        <f t="shared" si="23"/>
        <v>2.4553448248837565E-06</v>
      </c>
      <c r="V40" s="549"/>
      <c r="W40" s="97"/>
      <c r="X40" s="97"/>
      <c r="Y40" s="97"/>
      <c r="Z40" s="97"/>
      <c r="AA40" s="98"/>
      <c r="AB40" s="11"/>
      <c r="AC40" s="11"/>
      <c r="AD40" s="11"/>
      <c r="AE40" s="11"/>
      <c r="AF40" s="11"/>
    </row>
    <row r="41" spans="1:32" ht="12.75">
      <c r="A41" s="1593" t="str">
        <f>MainForm!B40</f>
        <v>Chrysene</v>
      </c>
      <c r="B41" s="412">
        <f>MainForm!G40</f>
        <v>1</v>
      </c>
      <c r="C41" s="412">
        <v>1</v>
      </c>
      <c r="D41" s="413">
        <v>0.2</v>
      </c>
      <c r="E41" s="414">
        <f t="shared" si="17"/>
        <v>0.13</v>
      </c>
      <c r="F41" s="414">
        <f t="shared" si="18"/>
        <v>0.89</v>
      </c>
      <c r="G41" s="415"/>
      <c r="H41" s="416">
        <f t="shared" si="19"/>
        <v>0</v>
      </c>
      <c r="I41" s="416">
        <f t="shared" si="20"/>
        <v>0.073</v>
      </c>
      <c r="J41" s="416">
        <f t="shared" si="21"/>
        <v>0.08202247191011236</v>
      </c>
      <c r="K41" s="417">
        <f t="shared" si="14"/>
      </c>
      <c r="L41" s="435" t="str">
        <f t="shared" si="16"/>
        <v> </v>
      </c>
      <c r="M41" s="446">
        <f t="shared" si="22"/>
        <v>2.395056179775281E-08</v>
      </c>
      <c r="N41" s="437"/>
      <c r="O41" s="437"/>
      <c r="P41" s="440"/>
      <c r="Q41" s="441"/>
      <c r="R41" s="419">
        <f t="shared" si="13"/>
        <v>0.0011832219132698338</v>
      </c>
      <c r="S41" s="546">
        <f t="shared" si="7"/>
        <v>14.645316021141351</v>
      </c>
      <c r="T41" s="547">
        <f t="shared" si="15"/>
      </c>
      <c r="U41" s="547">
        <f t="shared" si="23"/>
        <v>3.5076354641196527E-07</v>
      </c>
      <c r="V41" s="549"/>
      <c r="W41" s="97"/>
      <c r="X41" s="97"/>
      <c r="Y41" s="97"/>
      <c r="Z41" s="97"/>
      <c r="AA41" s="98"/>
      <c r="AB41" s="11"/>
      <c r="AC41" s="11"/>
      <c r="AD41" s="11"/>
      <c r="AE41" s="11"/>
      <c r="AF41" s="11"/>
    </row>
    <row r="42" spans="1:34" ht="15.75" customHeight="1">
      <c r="A42" s="1593" t="str">
        <f>MainForm!B41</f>
        <v>Dibenz(a,h)anthracene</v>
      </c>
      <c r="B42" s="412">
        <f>MainForm!G41</f>
        <v>0.05</v>
      </c>
      <c r="C42" s="412">
        <v>1</v>
      </c>
      <c r="D42" s="413">
        <v>0.2</v>
      </c>
      <c r="E42" s="414">
        <f t="shared" si="17"/>
        <v>0.13</v>
      </c>
      <c r="F42" s="414">
        <f t="shared" si="18"/>
        <v>0.89</v>
      </c>
      <c r="G42" s="415"/>
      <c r="H42" s="416">
        <f t="shared" si="19"/>
        <v>0</v>
      </c>
      <c r="I42" s="416">
        <f t="shared" si="20"/>
        <v>0.73</v>
      </c>
      <c r="J42" s="428">
        <f t="shared" si="21"/>
        <v>0.8202247191011236</v>
      </c>
      <c r="K42" s="417">
        <f t="shared" si="14"/>
      </c>
      <c r="L42" s="435" t="str">
        <f t="shared" si="16"/>
        <v> </v>
      </c>
      <c r="M42" s="446">
        <f t="shared" si="22"/>
        <v>1.1975280898876407E-08</v>
      </c>
      <c r="N42" s="437"/>
      <c r="O42" s="437"/>
      <c r="P42" s="440"/>
      <c r="Q42" s="441"/>
      <c r="R42" s="419">
        <f t="shared" si="13"/>
        <v>5.9161095663491693E-05</v>
      </c>
      <c r="S42" s="546">
        <f t="shared" si="7"/>
        <v>0.7322658010570675</v>
      </c>
      <c r="T42" s="547">
        <f t="shared" si="15"/>
      </c>
      <c r="U42" s="547">
        <f t="shared" si="23"/>
        <v>1.7538177320598264E-07</v>
      </c>
      <c r="V42" s="549"/>
      <c r="W42" s="97"/>
      <c r="X42" s="98"/>
      <c r="Y42" s="11"/>
      <c r="Z42" s="11"/>
      <c r="AA42" s="11"/>
      <c r="AB42" s="11"/>
      <c r="AC42" s="11"/>
      <c r="AD42" s="11"/>
      <c r="AE42" s="11"/>
      <c r="AF42" s="11"/>
      <c r="AH42" s="102"/>
    </row>
    <row r="43" spans="1:32" ht="14.25" thickBot="1">
      <c r="A43" s="1595" t="str">
        <f>MainForm!B42</f>
        <v>Indeno(1,2,3-cd)pyrene</v>
      </c>
      <c r="B43" s="420">
        <f>MainForm!G42</f>
        <v>1</v>
      </c>
      <c r="C43" s="420">
        <v>1</v>
      </c>
      <c r="D43" s="421">
        <v>0.2</v>
      </c>
      <c r="E43" s="422">
        <f t="shared" si="17"/>
        <v>0.13</v>
      </c>
      <c r="F43" s="422">
        <f t="shared" si="18"/>
        <v>0.89</v>
      </c>
      <c r="G43" s="423"/>
      <c r="H43" s="424">
        <f t="shared" si="19"/>
        <v>0</v>
      </c>
      <c r="I43" s="424">
        <f t="shared" si="20"/>
        <v>0.73</v>
      </c>
      <c r="J43" s="429">
        <f t="shared" si="21"/>
        <v>0.8202247191011236</v>
      </c>
      <c r="K43" s="425">
        <f t="shared" si="14"/>
      </c>
      <c r="L43" s="435" t="str">
        <f t="shared" si="16"/>
        <v> </v>
      </c>
      <c r="M43" s="447">
        <f t="shared" si="22"/>
        <v>2.3950561797752815E-07</v>
      </c>
      <c r="N43" s="443"/>
      <c r="O43" s="443"/>
      <c r="P43" s="444"/>
      <c r="Q43" s="441"/>
      <c r="R43" s="427">
        <f t="shared" si="13"/>
        <v>0.0011832219132698338</v>
      </c>
      <c r="S43" s="550">
        <f t="shared" si="7"/>
        <v>14.645316021141351</v>
      </c>
      <c r="T43" s="551">
        <f t="shared" si="15"/>
      </c>
      <c r="U43" s="551">
        <f t="shared" si="23"/>
        <v>3.5076354641196523E-06</v>
      </c>
      <c r="V43" s="552"/>
      <c r="W43" s="97"/>
      <c r="X43" s="105"/>
      <c r="Y43" s="105"/>
      <c r="Z43" s="105"/>
      <c r="AA43" s="105"/>
      <c r="AB43" s="11"/>
      <c r="AC43" s="11"/>
      <c r="AD43" s="11"/>
      <c r="AE43" s="11"/>
      <c r="AF43" s="11"/>
    </row>
    <row r="44" spans="1:32" ht="13.5" thickBot="1">
      <c r="A44" s="288" t="s">
        <v>20</v>
      </c>
      <c r="B44" s="430">
        <f>SUM(B14:B43)</f>
        <v>845.15</v>
      </c>
      <c r="C44" s="431"/>
      <c r="D44" s="432"/>
      <c r="E44" s="432"/>
      <c r="F44" s="432"/>
      <c r="G44" s="432"/>
      <c r="H44" s="432"/>
      <c r="I44" s="432"/>
      <c r="J44" s="432"/>
      <c r="K44" s="433">
        <f>SUM(K14:K43)</f>
        <v>0.01950892823636795</v>
      </c>
      <c r="L44" s="449">
        <f>SUM(L14:L43)</f>
        <v>100.00000000000001</v>
      </c>
      <c r="M44" s="450">
        <f>SUM(M14:M43)</f>
        <v>6.82812169130692E-07</v>
      </c>
      <c r="N44" s="451"/>
      <c r="O44" s="451"/>
      <c r="P44" s="452">
        <f>IF(SUM(Q44:Q45)&gt;0,"Fail","")</f>
      </c>
      <c r="Q44" s="441">
        <f>IF(M44&gt;0.00001001,1,0)</f>
        <v>0</v>
      </c>
      <c r="R44" s="427">
        <f>SUM(R14:R43)</f>
        <v>0.9999999999999999</v>
      </c>
      <c r="S44" s="553">
        <v>12377.488835267612</v>
      </c>
      <c r="T44" s="554">
        <f>SUM(T14:T43)</f>
        <v>0.2857144192553764</v>
      </c>
      <c r="U44" s="554">
        <f>SUM(U14:U43)</f>
        <v>1E-05</v>
      </c>
      <c r="V44" s="555">
        <f>IF(SUM(W44:W45)&gt;0,"Fail","")</f>
      </c>
      <c r="W44" s="97">
        <f>IF(U44&gt;0.00001001,1,0)</f>
        <v>0</v>
      </c>
      <c r="AB44" s="11"/>
      <c r="AC44" s="11"/>
      <c r="AD44" s="11"/>
      <c r="AE44" s="11"/>
      <c r="AF44" s="11"/>
    </row>
    <row r="45" spans="1:23" ht="14.25" hidden="1">
      <c r="A45" s="103"/>
      <c r="B45" s="104"/>
      <c r="C45" s="105"/>
      <c r="D45" s="106"/>
      <c r="E45" s="105"/>
      <c r="F45" s="105"/>
      <c r="G45" s="105"/>
      <c r="H45" s="105"/>
      <c r="I45" s="105"/>
      <c r="J45" s="105"/>
      <c r="K45" s="107"/>
      <c r="L45" s="107"/>
      <c r="M45" s="107" t="s">
        <v>247</v>
      </c>
      <c r="N45" s="107"/>
      <c r="O45" s="107"/>
      <c r="P45" s="107"/>
      <c r="Q45" s="113">
        <f>IF(K44&gt;1.001,1,0)</f>
        <v>0</v>
      </c>
      <c r="R45" s="109"/>
      <c r="S45" s="109"/>
      <c r="T45" s="109"/>
      <c r="U45" s="133" t="s">
        <v>241</v>
      </c>
      <c r="V45" s="109"/>
      <c r="W45" s="113">
        <f>IF(T44&gt;1.001,1,0)</f>
        <v>0</v>
      </c>
    </row>
    <row r="46" spans="16:23" ht="12.75" hidden="1">
      <c r="P46" s="8" t="s">
        <v>22</v>
      </c>
      <c r="Q46" s="6">
        <f>SUM(Q21:Q45)</f>
        <v>0</v>
      </c>
      <c r="T46" s="108"/>
      <c r="V46" s="8" t="s">
        <v>22</v>
      </c>
      <c r="W46" s="6">
        <f>SUM(W13:W45)</f>
        <v>0</v>
      </c>
    </row>
    <row r="47" spans="17:32" ht="12.75" hidden="1">
      <c r="Q47" s="6"/>
      <c r="S47" s="8" t="s">
        <v>394</v>
      </c>
      <c r="T47" s="8">
        <f>(U44-0.00001)*1000000000</f>
        <v>0</v>
      </c>
      <c r="W47" s="6"/>
      <c r="AF47" s="84"/>
    </row>
    <row r="48" spans="16:32" ht="12.75" hidden="1">
      <c r="P48" s="8" t="s">
        <v>248</v>
      </c>
      <c r="Q48" s="6" t="str">
        <f>IF(Q46&gt;0,"Fail","Pass")</f>
        <v>Pass</v>
      </c>
      <c r="V48" s="8" t="s">
        <v>262</v>
      </c>
      <c r="W48" s="6" t="str">
        <f>IF(W46&gt;0,"Fail","Pass")</f>
        <v>Pass</v>
      </c>
      <c r="AF48" s="84"/>
    </row>
    <row r="49" spans="23:32" ht="12.75" hidden="1">
      <c r="W49" s="8" t="str">
        <f>IF(W48="Fail","NO","YES")</f>
        <v>YES</v>
      </c>
      <c r="AF49" s="116"/>
    </row>
    <row r="50" spans="29:32" ht="15.75" hidden="1" thickBot="1">
      <c r="AC50" s="767"/>
      <c r="AF50" s="768"/>
    </row>
    <row r="51" spans="1:32" ht="12.75" hidden="1">
      <c r="A51" s="2098" t="s">
        <v>263</v>
      </c>
      <c r="B51" s="2099"/>
      <c r="C51" s="2100"/>
      <c r="D51" s="11"/>
      <c r="AF51" s="117"/>
    </row>
    <row r="52" spans="1:32" ht="13.5" hidden="1" thickBot="1">
      <c r="A52" s="556" t="s">
        <v>267</v>
      </c>
      <c r="B52" s="557"/>
      <c r="C52" s="558" t="s">
        <v>365</v>
      </c>
      <c r="D52" s="11"/>
      <c r="AC52" s="84"/>
      <c r="AD52" s="769"/>
      <c r="AF52" s="116"/>
    </row>
    <row r="53" spans="1:32" ht="13.5" hidden="1" thickTop="1">
      <c r="A53" s="559" t="s">
        <v>195</v>
      </c>
      <c r="B53" s="560">
        <v>70</v>
      </c>
      <c r="C53" s="561" t="s">
        <v>53</v>
      </c>
      <c r="D53" s="11"/>
      <c r="AC53" s="84"/>
      <c r="AD53" s="118"/>
      <c r="AF53" s="116"/>
    </row>
    <row r="54" spans="1:32" ht="12.75" hidden="1">
      <c r="A54" s="562" t="s">
        <v>197</v>
      </c>
      <c r="B54" s="563">
        <v>0.7</v>
      </c>
      <c r="C54" s="564" t="s">
        <v>63</v>
      </c>
      <c r="D54" s="11"/>
      <c r="AC54" s="84"/>
      <c r="AD54" s="119"/>
      <c r="AF54" s="117"/>
    </row>
    <row r="55" spans="1:32" ht="12.75" hidden="1">
      <c r="A55" s="565" t="s">
        <v>198</v>
      </c>
      <c r="B55" s="563">
        <v>20</v>
      </c>
      <c r="C55" s="566" t="s">
        <v>196</v>
      </c>
      <c r="D55" s="11"/>
      <c r="AC55" s="84"/>
      <c r="AD55" s="120"/>
      <c r="AF55" s="117"/>
    </row>
    <row r="56" spans="1:32" ht="12.75" hidden="1">
      <c r="A56" s="567" t="s">
        <v>199</v>
      </c>
      <c r="B56" s="563">
        <v>50</v>
      </c>
      <c r="C56" s="568" t="s">
        <v>200</v>
      </c>
      <c r="D56" s="83"/>
      <c r="AC56" s="84"/>
      <c r="AD56" s="121"/>
      <c r="AF56" s="117"/>
    </row>
    <row r="57" spans="1:32" ht="15" hidden="1" thickBot="1">
      <c r="A57" s="569" t="s">
        <v>201</v>
      </c>
      <c r="B57" s="570">
        <v>2500</v>
      </c>
      <c r="C57" s="571" t="s">
        <v>220</v>
      </c>
      <c r="D57" s="83"/>
      <c r="AC57" s="84"/>
      <c r="AD57" s="121"/>
      <c r="AF57" s="117"/>
    </row>
    <row r="58" spans="1:30" ht="13.5" hidden="1" thickBot="1">
      <c r="A58" s="572" t="s">
        <v>388</v>
      </c>
      <c r="B58" s="573"/>
      <c r="C58" s="574"/>
      <c r="D58" s="83"/>
      <c r="AC58" s="122"/>
      <c r="AD58" s="121"/>
    </row>
    <row r="59" spans="1:30" ht="14.25" hidden="1" thickBot="1" thickTop="1">
      <c r="A59" s="575" t="s">
        <v>219</v>
      </c>
      <c r="B59" s="576">
        <v>20</v>
      </c>
      <c r="C59" s="577" t="s">
        <v>266</v>
      </c>
      <c r="D59" s="83"/>
      <c r="AC59" s="84"/>
      <c r="AD59" s="123"/>
    </row>
    <row r="60" spans="1:30" ht="14.25" hidden="1" thickBot="1">
      <c r="A60" s="578" t="s">
        <v>268</v>
      </c>
      <c r="B60" s="579"/>
      <c r="C60" s="580"/>
      <c r="D60" s="83"/>
      <c r="AC60" s="84"/>
      <c r="AD60" s="124"/>
    </row>
    <row r="61" spans="1:31" ht="14.25" hidden="1" thickBot="1" thickTop="1">
      <c r="A61" s="581" t="s">
        <v>265</v>
      </c>
      <c r="B61" s="582">
        <v>75</v>
      </c>
      <c r="C61" s="583" t="s">
        <v>266</v>
      </c>
      <c r="D61" s="83"/>
      <c r="AC61" s="84"/>
      <c r="AD61" s="125"/>
      <c r="AE61" s="126"/>
    </row>
    <row r="62" spans="1:31" ht="12.75" hidden="1">
      <c r="A62" s="584"/>
      <c r="B62" s="114"/>
      <c r="C62" s="115"/>
      <c r="D62" s="85"/>
      <c r="AC62" s="84"/>
      <c r="AD62" s="127"/>
      <c r="AE62" s="126"/>
    </row>
    <row r="63" spans="29:31" ht="12.75" hidden="1">
      <c r="AC63" s="128"/>
      <c r="AD63" s="127"/>
      <c r="AE63" s="46"/>
    </row>
    <row r="64" spans="29:31" ht="12.75" hidden="1">
      <c r="AC64" s="128"/>
      <c r="AD64" s="46"/>
      <c r="AE64" s="82"/>
    </row>
    <row r="65" ht="12.75" hidden="1">
      <c r="AD65" s="129"/>
    </row>
    <row r="66" ht="12.75" hidden="1">
      <c r="AC66" s="130"/>
    </row>
    <row r="67" ht="12.75" hidden="1"/>
    <row r="68" ht="12.75" hidden="1"/>
    <row r="69" ht="12.75" hidden="1"/>
    <row r="70" ht="12.75" hidden="1">
      <c r="AF70" s="127"/>
    </row>
    <row r="71" ht="12.75" hidden="1">
      <c r="AF71" s="127"/>
    </row>
    <row r="72" ht="12.75">
      <c r="AF72" s="127"/>
    </row>
    <row r="73" ht="12.75">
      <c r="AF73" s="46"/>
    </row>
  </sheetData>
  <sheetProtection/>
  <mergeCells count="27">
    <mergeCell ref="M9:M11"/>
    <mergeCell ref="K9:K11"/>
    <mergeCell ref="S8:V8"/>
    <mergeCell ref="AC13:AE13"/>
    <mergeCell ref="AC8:AE8"/>
    <mergeCell ref="S9:S11"/>
    <mergeCell ref="T9:T11"/>
    <mergeCell ref="U9:U11"/>
    <mergeCell ref="G10:G11"/>
    <mergeCell ref="I10:I11"/>
    <mergeCell ref="L10:L11"/>
    <mergeCell ref="H10:H11"/>
    <mergeCell ref="J10:J11"/>
    <mergeCell ref="C10:C11"/>
    <mergeCell ref="D10:D11"/>
    <mergeCell ref="E10:E11"/>
    <mergeCell ref="F10:F11"/>
    <mergeCell ref="A8:A11"/>
    <mergeCell ref="AC39:AE39"/>
    <mergeCell ref="A51:C51"/>
    <mergeCell ref="AC15:AE15"/>
    <mergeCell ref="AC27:AE27"/>
    <mergeCell ref="AC28:AE28"/>
    <mergeCell ref="AC26:AE26"/>
    <mergeCell ref="B9:B10"/>
    <mergeCell ref="V9:V11"/>
    <mergeCell ref="P9:P11"/>
  </mergeCells>
  <conditionalFormatting sqref="AE12">
    <cfRule type="cellIs" priority="1" dxfId="1" operator="equal" stopIfTrue="1">
      <formula>"Fail"</formula>
    </cfRule>
  </conditionalFormatting>
  <conditionalFormatting sqref="AD22">
    <cfRule type="cellIs" priority="2" dxfId="0" operator="equal" stopIfTrue="1">
      <formula>"NO"</formula>
    </cfRule>
  </conditionalFormatting>
  <conditionalFormatting sqref="AE38">
    <cfRule type="cellIs" priority="3" dxfId="0" operator="equal" stopIfTrue="1">
      <formula>"Fail"</formula>
    </cfRule>
  </conditionalFormatting>
  <printOptions horizontalCentered="1"/>
  <pageMargins left="0.19" right="0.17" top="0.58" bottom="0.42" header="0.36" footer="0.25"/>
  <pageSetup blackAndWhite="1" horizontalDpi="300" verticalDpi="300" orientation="landscape" scale="90" r:id="rId4"/>
  <headerFooter alignWithMargins="0">
    <oddHeader>&amp;CWashington State Department of Ecology, Toxics Cleanup Program: Soil Cleanup Level for TPH Sites - Soil Direct Contact: Method C - Industrial Land Use</oddHeader>
    <oddFooter>&amp;R&amp;D:  &amp;F</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20.xml><?xml version="1.0" encoding="utf-8"?>
<worksheet xmlns="http://schemas.openxmlformats.org/spreadsheetml/2006/main" xmlns:r="http://schemas.openxmlformats.org/officeDocument/2006/relationships">
  <sheetPr codeName="Sheet12"/>
  <dimension ref="A1:AG44"/>
  <sheetViews>
    <sheetView showGridLines="0" showRowColHeaders="0" zoomScale="78" zoomScaleNormal="78" zoomScalePageLayoutView="0" workbookViewId="0" topLeftCell="A1">
      <selection activeCell="D4" sqref="D4:H4"/>
    </sheetView>
  </sheetViews>
  <sheetFormatPr defaultColWidth="9.140625" defaultRowHeight="12.75"/>
  <cols>
    <col min="1" max="1" width="10.140625" style="463" customWidth="1"/>
    <col min="2" max="2" width="19.28125" style="464" customWidth="1"/>
    <col min="3" max="3" width="9.140625" style="463" hidden="1" customWidth="1"/>
    <col min="4" max="4" width="11.28125" style="463" customWidth="1"/>
    <col min="5" max="5" width="11.8515625" style="463" customWidth="1"/>
    <col min="6" max="6" width="11.140625" style="463" customWidth="1"/>
    <col min="7" max="7" width="12.00390625" style="463" customWidth="1"/>
    <col min="8" max="8" width="13.8515625" style="463" customWidth="1"/>
    <col min="9" max="9" width="11.28125" style="463" customWidth="1"/>
    <col min="10" max="10" width="10.8515625" style="463" customWidth="1"/>
    <col min="11" max="11" width="11.140625" style="465" customWidth="1"/>
    <col min="12" max="12" width="15.57421875" style="465" hidden="1" customWidth="1"/>
    <col min="13" max="13" width="10.7109375" style="465" customWidth="1"/>
    <col min="14" max="14" width="11.00390625" style="465" customWidth="1"/>
    <col min="15" max="15" width="16.140625" style="463" customWidth="1"/>
    <col min="16" max="16" width="16.28125" style="464" customWidth="1"/>
    <col min="17" max="17" width="1.421875" style="463" customWidth="1"/>
    <col min="18" max="18" width="8.00390625" style="463" hidden="1" customWidth="1"/>
    <col min="19" max="19" width="6.7109375" style="463" hidden="1" customWidth="1"/>
    <col min="20" max="21" width="21.57421875" style="463" hidden="1" customWidth="1"/>
    <col min="22" max="22" width="11.57421875" style="463" hidden="1" customWidth="1"/>
    <col min="23" max="23" width="12.421875" style="463" hidden="1" customWidth="1"/>
    <col min="24" max="24" width="14.140625" style="463" hidden="1" customWidth="1"/>
    <col min="25" max="25" width="9.140625" style="463" hidden="1" customWidth="1"/>
    <col min="26" max="26" width="11.28125" style="463" hidden="1" customWidth="1"/>
    <col min="27" max="27" width="9.140625" style="463" hidden="1" customWidth="1"/>
    <col min="28" max="28" width="24.57421875" style="463" hidden="1" customWidth="1"/>
    <col min="29" max="31" width="9.140625" style="463" customWidth="1"/>
    <col min="32" max="33" width="8.8515625" style="463" customWidth="1"/>
    <col min="34" max="40" width="8.8515625" style="33" customWidth="1"/>
    <col min="41" max="41" width="0.5625" style="33" customWidth="1"/>
    <col min="42" max="16384" width="9.140625" style="33" customWidth="1"/>
  </cols>
  <sheetData>
    <row r="1" spans="1:17" ht="12.75">
      <c r="A1" s="159"/>
      <c r="B1" s="160"/>
      <c r="C1" s="159"/>
      <c r="D1" s="159"/>
      <c r="E1" s="159"/>
      <c r="F1" s="159"/>
      <c r="G1" s="159"/>
      <c r="H1" s="159"/>
      <c r="I1" s="159"/>
      <c r="J1" s="159"/>
      <c r="K1" s="162"/>
      <c r="L1" s="162"/>
      <c r="M1" s="162"/>
      <c r="N1" s="162"/>
      <c r="O1" s="159"/>
      <c r="P1" s="160"/>
      <c r="Q1" s="1583"/>
    </row>
    <row r="2" spans="1:17" ht="22.5">
      <c r="A2" s="159"/>
      <c r="B2" s="160"/>
      <c r="C2" s="159"/>
      <c r="D2" s="161" t="s">
        <v>622</v>
      </c>
      <c r="E2" s="159"/>
      <c r="F2" s="159"/>
      <c r="G2" s="159"/>
      <c r="H2" s="159"/>
      <c r="I2" s="159"/>
      <c r="J2" s="159"/>
      <c r="K2" s="162"/>
      <c r="L2" s="162"/>
      <c r="M2" s="162"/>
      <c r="N2" s="162"/>
      <c r="O2" s="159"/>
      <c r="P2" s="160"/>
      <c r="Q2" s="1583"/>
    </row>
    <row r="3" spans="1:17" ht="22.5" customHeight="1" thickBot="1">
      <c r="A3" s="163"/>
      <c r="B3" s="163"/>
      <c r="C3" s="159"/>
      <c r="D3" s="2133" t="s">
        <v>602</v>
      </c>
      <c r="E3" s="2133"/>
      <c r="F3" s="2133"/>
      <c r="G3" s="2133"/>
      <c r="H3" s="2133"/>
      <c r="I3" s="159"/>
      <c r="J3" s="1799" t="s">
        <v>656</v>
      </c>
      <c r="K3" s="162"/>
      <c r="L3" s="162"/>
      <c r="M3" s="162"/>
      <c r="N3" s="162"/>
      <c r="O3" s="159"/>
      <c r="P3" s="160"/>
      <c r="Q3" s="1583"/>
    </row>
    <row r="4" spans="1:33" s="467" customFormat="1" ht="21" customHeight="1" thickBot="1">
      <c r="A4" s="245"/>
      <c r="B4" s="246"/>
      <c r="C4" s="247"/>
      <c r="D4" s="2134" t="s">
        <v>313</v>
      </c>
      <c r="E4" s="2135"/>
      <c r="F4" s="2135"/>
      <c r="G4" s="2135"/>
      <c r="H4" s="2140"/>
      <c r="I4" s="2134" t="s">
        <v>300</v>
      </c>
      <c r="J4" s="2135"/>
      <c r="K4" s="2135"/>
      <c r="L4" s="2135"/>
      <c r="M4" s="2135"/>
      <c r="N4" s="2135"/>
      <c r="O4" s="2135"/>
      <c r="P4" s="2135"/>
      <c r="Q4" s="1584"/>
      <c r="R4" s="2138" t="s">
        <v>338</v>
      </c>
      <c r="S4" s="2139"/>
      <c r="T4" s="466"/>
      <c r="U4" s="466"/>
      <c r="V4" s="466"/>
      <c r="W4" s="466"/>
      <c r="X4" s="466"/>
      <c r="Y4" s="466"/>
      <c r="Z4" s="466"/>
      <c r="AA4" s="466"/>
      <c r="AB4" s="466"/>
      <c r="AC4" s="466"/>
      <c r="AD4" s="466"/>
      <c r="AE4" s="466"/>
      <c r="AF4" s="466"/>
      <c r="AG4" s="466"/>
    </row>
    <row r="5" spans="1:28" ht="3.75" customHeight="1" thickBot="1">
      <c r="A5" s="159"/>
      <c r="B5" s="164">
        <v>1</v>
      </c>
      <c r="C5" s="165">
        <v>2</v>
      </c>
      <c r="D5" s="166">
        <v>3</v>
      </c>
      <c r="E5" s="166">
        <v>4</v>
      </c>
      <c r="F5" s="166">
        <v>5</v>
      </c>
      <c r="G5" s="166">
        <v>6</v>
      </c>
      <c r="H5" s="167">
        <v>7</v>
      </c>
      <c r="I5" s="159">
        <v>8</v>
      </c>
      <c r="J5" s="159">
        <v>9</v>
      </c>
      <c r="K5" s="159">
        <v>10</v>
      </c>
      <c r="L5" s="159">
        <v>11</v>
      </c>
      <c r="M5" s="159">
        <v>12</v>
      </c>
      <c r="N5" s="159">
        <v>13</v>
      </c>
      <c r="O5" s="159">
        <v>14</v>
      </c>
      <c r="P5" s="160">
        <v>15</v>
      </c>
      <c r="Q5" s="1583">
        <v>16</v>
      </c>
      <c r="R5" s="468">
        <v>17</v>
      </c>
      <c r="S5" s="464">
        <v>18</v>
      </c>
      <c r="V5" s="469"/>
      <c r="W5" s="470"/>
      <c r="X5" s="470"/>
      <c r="Y5" s="470"/>
      <c r="Z5" s="470"/>
      <c r="AA5" s="470"/>
      <c r="AB5" s="471"/>
    </row>
    <row r="6" spans="1:33" s="476" customFormat="1" ht="89.25" customHeight="1">
      <c r="A6" s="199" t="s">
        <v>152</v>
      </c>
      <c r="B6" s="200" t="s">
        <v>337</v>
      </c>
      <c r="C6" s="201" t="s">
        <v>171</v>
      </c>
      <c r="D6" s="1547" t="s">
        <v>172</v>
      </c>
      <c r="E6" s="1547" t="s">
        <v>32</v>
      </c>
      <c r="F6" s="1547" t="s">
        <v>297</v>
      </c>
      <c r="G6" s="1547" t="s">
        <v>282</v>
      </c>
      <c r="H6" s="1548" t="s">
        <v>283</v>
      </c>
      <c r="I6" s="1549" t="s">
        <v>284</v>
      </c>
      <c r="J6" s="1547" t="s">
        <v>285</v>
      </c>
      <c r="K6" s="1547" t="s">
        <v>369</v>
      </c>
      <c r="L6" s="1550" t="s">
        <v>339</v>
      </c>
      <c r="M6" s="1547" t="s">
        <v>286</v>
      </c>
      <c r="N6" s="1547" t="s">
        <v>325</v>
      </c>
      <c r="O6" s="1547" t="s">
        <v>371</v>
      </c>
      <c r="P6" s="1547" t="s">
        <v>370</v>
      </c>
      <c r="Q6" s="1588"/>
      <c r="R6" s="2136" t="s">
        <v>289</v>
      </c>
      <c r="S6" s="2137"/>
      <c r="T6" s="472"/>
      <c r="U6" s="472"/>
      <c r="V6" s="474" t="s">
        <v>189</v>
      </c>
      <c r="W6" s="475" t="s">
        <v>298</v>
      </c>
      <c r="X6" s="475" t="s">
        <v>299</v>
      </c>
      <c r="Y6" s="475" t="s">
        <v>340</v>
      </c>
      <c r="Z6" s="475" t="s">
        <v>190</v>
      </c>
      <c r="AA6" s="475" t="s">
        <v>188</v>
      </c>
      <c r="AB6" s="473" t="s">
        <v>341</v>
      </c>
      <c r="AC6" s="472"/>
      <c r="AD6" s="472"/>
      <c r="AE6" s="472"/>
      <c r="AF6" s="472"/>
      <c r="AG6" s="472"/>
    </row>
    <row r="7" spans="1:33" s="482" customFormat="1" ht="31.5" customHeight="1">
      <c r="A7" s="202"/>
      <c r="B7" s="203"/>
      <c r="C7" s="204"/>
      <c r="D7" s="1543" t="s">
        <v>372</v>
      </c>
      <c r="E7" s="1543" t="s">
        <v>280</v>
      </c>
      <c r="F7" s="1543" t="s">
        <v>301</v>
      </c>
      <c r="G7" s="1543" t="s">
        <v>302</v>
      </c>
      <c r="H7" s="1544" t="s">
        <v>281</v>
      </c>
      <c r="I7" s="1545" t="s">
        <v>303</v>
      </c>
      <c r="J7" s="1545" t="s">
        <v>58</v>
      </c>
      <c r="K7" s="1545" t="s">
        <v>304</v>
      </c>
      <c r="L7" s="1546"/>
      <c r="M7" s="1545" t="s">
        <v>308</v>
      </c>
      <c r="N7" s="1545" t="s">
        <v>206</v>
      </c>
      <c r="O7" s="1545" t="s">
        <v>305</v>
      </c>
      <c r="P7" s="1543" t="s">
        <v>306</v>
      </c>
      <c r="Q7" s="1589"/>
      <c r="R7" s="481" t="s">
        <v>287</v>
      </c>
      <c r="S7" s="481" t="s">
        <v>288</v>
      </c>
      <c r="T7" s="477"/>
      <c r="U7" s="477"/>
      <c r="V7" s="479"/>
      <c r="W7" s="480"/>
      <c r="X7" s="480"/>
      <c r="Y7" s="480"/>
      <c r="Z7" s="480"/>
      <c r="AA7" s="480"/>
      <c r="AB7" s="478"/>
      <c r="AC7" s="477"/>
      <c r="AD7" s="477"/>
      <c r="AE7" s="477"/>
      <c r="AF7" s="477"/>
      <c r="AG7" s="477"/>
    </row>
    <row r="8" spans="1:33" s="488" customFormat="1" ht="30.75" customHeight="1" thickBot="1">
      <c r="A8" s="209"/>
      <c r="B8" s="210"/>
      <c r="C8" s="211"/>
      <c r="D8" s="209" t="s">
        <v>14</v>
      </c>
      <c r="E8" s="209" t="s">
        <v>476</v>
      </c>
      <c r="F8" s="209" t="s">
        <v>63</v>
      </c>
      <c r="G8" s="209" t="s">
        <v>477</v>
      </c>
      <c r="H8" s="210" t="s">
        <v>476</v>
      </c>
      <c r="I8" s="209" t="s">
        <v>51</v>
      </c>
      <c r="J8" s="209" t="s">
        <v>63</v>
      </c>
      <c r="K8" s="209" t="s">
        <v>51</v>
      </c>
      <c r="L8" s="209" t="s">
        <v>309</v>
      </c>
      <c r="M8" s="209" t="s">
        <v>63</v>
      </c>
      <c r="N8" s="209" t="s">
        <v>63</v>
      </c>
      <c r="O8" s="209" t="s">
        <v>194</v>
      </c>
      <c r="P8" s="209" t="s">
        <v>194</v>
      </c>
      <c r="Q8" s="1590"/>
      <c r="R8" s="483" t="s">
        <v>62</v>
      </c>
      <c r="S8" s="483" t="s">
        <v>13</v>
      </c>
      <c r="T8" s="483"/>
      <c r="U8" s="483"/>
      <c r="V8" s="485" t="s">
        <v>310</v>
      </c>
      <c r="W8" s="483" t="s">
        <v>311</v>
      </c>
      <c r="X8" s="483" t="s">
        <v>311</v>
      </c>
      <c r="Y8" s="486" t="s">
        <v>312</v>
      </c>
      <c r="Z8" s="483"/>
      <c r="AA8" s="486" t="s">
        <v>312</v>
      </c>
      <c r="AB8" s="484" t="s">
        <v>191</v>
      </c>
      <c r="AC8" s="487"/>
      <c r="AD8" s="487"/>
      <c r="AE8" s="487"/>
      <c r="AF8" s="487"/>
      <c r="AG8" s="487"/>
    </row>
    <row r="9" spans="1:33" s="488" customFormat="1" ht="13.5" customHeight="1" thickTop="1">
      <c r="A9" s="168"/>
      <c r="B9" s="198" t="s">
        <v>294</v>
      </c>
      <c r="C9" s="169"/>
      <c r="D9" s="170"/>
      <c r="E9" s="170"/>
      <c r="F9" s="170"/>
      <c r="G9" s="170"/>
      <c r="H9" s="171"/>
      <c r="I9" s="170"/>
      <c r="J9" s="170"/>
      <c r="K9" s="172"/>
      <c r="L9" s="172"/>
      <c r="M9" s="172"/>
      <c r="N9" s="172"/>
      <c r="O9" s="168"/>
      <c r="P9" s="170"/>
      <c r="Q9" s="1590"/>
      <c r="R9" s="490"/>
      <c r="S9" s="490"/>
      <c r="T9" s="487"/>
      <c r="U9" s="487"/>
      <c r="V9" s="489"/>
      <c r="W9" s="490"/>
      <c r="X9" s="490"/>
      <c r="Y9" s="490"/>
      <c r="Z9" s="490"/>
      <c r="AA9" s="490"/>
      <c r="AB9" s="491"/>
      <c r="AC9" s="487"/>
      <c r="AD9" s="487"/>
      <c r="AE9" s="487"/>
      <c r="AF9" s="487"/>
      <c r="AG9" s="487"/>
    </row>
    <row r="10" spans="1:33" s="495" customFormat="1" ht="12.75">
      <c r="A10" s="173"/>
      <c r="B10" s="1537" t="s">
        <v>160</v>
      </c>
      <c r="C10" s="174">
        <v>5.5</v>
      </c>
      <c r="D10" s="175">
        <v>81000</v>
      </c>
      <c r="E10" s="175">
        <v>36</v>
      </c>
      <c r="F10" s="175">
        <v>33</v>
      </c>
      <c r="G10" s="175">
        <v>800</v>
      </c>
      <c r="H10" s="176">
        <v>670000</v>
      </c>
      <c r="I10" s="1695">
        <v>1.7</v>
      </c>
      <c r="J10" s="177">
        <v>2</v>
      </c>
      <c r="K10" s="1696">
        <v>1.7</v>
      </c>
      <c r="L10" s="173"/>
      <c r="M10" s="173">
        <v>0.03</v>
      </c>
      <c r="N10" s="173">
        <v>0.8</v>
      </c>
      <c r="O10" s="173"/>
      <c r="P10" s="177"/>
      <c r="Q10" s="1586"/>
      <c r="R10" s="155"/>
      <c r="S10" s="155"/>
      <c r="T10" s="492"/>
      <c r="U10" s="492"/>
      <c r="V10" s="493"/>
      <c r="W10" s="155"/>
      <c r="X10" s="155"/>
      <c r="Y10" s="155"/>
      <c r="Z10" s="155"/>
      <c r="AA10" s="155"/>
      <c r="AB10" s="494"/>
      <c r="AC10" s="492"/>
      <c r="AD10" s="492"/>
      <c r="AE10" s="492"/>
      <c r="AF10" s="492"/>
      <c r="AG10" s="492"/>
    </row>
    <row r="11" spans="1:33" s="495" customFormat="1" ht="12.75">
      <c r="A11" s="173"/>
      <c r="B11" s="1537" t="s">
        <v>161</v>
      </c>
      <c r="C11" s="174">
        <v>7</v>
      </c>
      <c r="D11" s="175">
        <v>100000</v>
      </c>
      <c r="E11" s="175">
        <v>5.4</v>
      </c>
      <c r="F11" s="175">
        <v>50</v>
      </c>
      <c r="G11" s="175">
        <v>3800</v>
      </c>
      <c r="H11" s="176">
        <v>700000</v>
      </c>
      <c r="I11" s="1695">
        <v>1.7</v>
      </c>
      <c r="J11" s="177">
        <v>2</v>
      </c>
      <c r="K11" s="1696">
        <v>1.7</v>
      </c>
      <c r="L11" s="173"/>
      <c r="M11" s="173">
        <v>0.03</v>
      </c>
      <c r="N11" s="173">
        <v>0.8</v>
      </c>
      <c r="O11" s="173"/>
      <c r="P11" s="177"/>
      <c r="Q11" s="1586"/>
      <c r="R11" s="155"/>
      <c r="S11" s="155"/>
      <c r="T11" s="492"/>
      <c r="U11" s="492"/>
      <c r="V11" s="493"/>
      <c r="W11" s="155"/>
      <c r="X11" s="155"/>
      <c r="Y11" s="155"/>
      <c r="Z11" s="155"/>
      <c r="AA11" s="155"/>
      <c r="AB11" s="494"/>
      <c r="AC11" s="492"/>
      <c r="AD11" s="492"/>
      <c r="AE11" s="492"/>
      <c r="AF11" s="492"/>
      <c r="AG11" s="492"/>
    </row>
    <row r="12" spans="1:33" s="495" customFormat="1" ht="12.75">
      <c r="A12" s="173"/>
      <c r="B12" s="1537" t="s">
        <v>157</v>
      </c>
      <c r="C12" s="174">
        <v>9</v>
      </c>
      <c r="D12" s="175">
        <v>130000</v>
      </c>
      <c r="E12" s="175">
        <v>0.43</v>
      </c>
      <c r="F12" s="175">
        <v>80</v>
      </c>
      <c r="G12" s="175">
        <v>30200</v>
      </c>
      <c r="H12" s="176">
        <v>730000</v>
      </c>
      <c r="I12" s="177">
        <v>0.03</v>
      </c>
      <c r="J12" s="177">
        <v>2</v>
      </c>
      <c r="K12" s="173">
        <v>0.085</v>
      </c>
      <c r="L12" s="173"/>
      <c r="M12" s="173">
        <v>0.03</v>
      </c>
      <c r="N12" s="173">
        <v>0.8</v>
      </c>
      <c r="O12" s="173"/>
      <c r="P12" s="177"/>
      <c r="Q12" s="1586"/>
      <c r="R12" s="155"/>
      <c r="S12" s="155"/>
      <c r="T12" s="492"/>
      <c r="U12" s="492"/>
      <c r="V12" s="493"/>
      <c r="W12" s="155"/>
      <c r="X12" s="155"/>
      <c r="Y12" s="155"/>
      <c r="Z12" s="155"/>
      <c r="AA12" s="155"/>
      <c r="AB12" s="494"/>
      <c r="AC12" s="492"/>
      <c r="AD12" s="492"/>
      <c r="AE12" s="492"/>
      <c r="AF12" s="492"/>
      <c r="AG12" s="492"/>
    </row>
    <row r="13" spans="1:33" s="495" customFormat="1" ht="12.75">
      <c r="A13" s="173"/>
      <c r="B13" s="1537" t="s">
        <v>158</v>
      </c>
      <c r="C13" s="174">
        <v>11</v>
      </c>
      <c r="D13" s="175">
        <v>160000</v>
      </c>
      <c r="E13" s="175">
        <v>0.034</v>
      </c>
      <c r="F13" s="175">
        <v>120</v>
      </c>
      <c r="G13" s="175">
        <v>234000</v>
      </c>
      <c r="H13" s="176">
        <v>750000</v>
      </c>
      <c r="I13" s="177">
        <v>0.03</v>
      </c>
      <c r="J13" s="177">
        <v>2</v>
      </c>
      <c r="K13" s="173">
        <v>0.085</v>
      </c>
      <c r="L13" s="173"/>
      <c r="M13" s="173">
        <v>0.03</v>
      </c>
      <c r="N13" s="173">
        <v>0.8</v>
      </c>
      <c r="O13" s="173"/>
      <c r="P13" s="177"/>
      <c r="Q13" s="1586"/>
      <c r="R13" s="155"/>
      <c r="S13" s="155"/>
      <c r="T13" s="492"/>
      <c r="U13" s="492"/>
      <c r="V13" s="493"/>
      <c r="W13" s="155"/>
      <c r="X13" s="155"/>
      <c r="Y13" s="155"/>
      <c r="Z13" s="155"/>
      <c r="AA13" s="155"/>
      <c r="AB13" s="494"/>
      <c r="AC13" s="492"/>
      <c r="AD13" s="492"/>
      <c r="AE13" s="492"/>
      <c r="AF13" s="492"/>
      <c r="AG13" s="492"/>
    </row>
    <row r="14" spans="1:33" s="495" customFormat="1" ht="12.75">
      <c r="A14" s="173"/>
      <c r="B14" s="1537" t="s">
        <v>159</v>
      </c>
      <c r="C14" s="174">
        <v>14</v>
      </c>
      <c r="D14" s="175">
        <v>200000</v>
      </c>
      <c r="E14" s="175">
        <v>0.00076</v>
      </c>
      <c r="F14" s="175">
        <v>520</v>
      </c>
      <c r="G14" s="175">
        <v>5370000</v>
      </c>
      <c r="H14" s="176">
        <v>770000</v>
      </c>
      <c r="I14" s="177">
        <v>0.03</v>
      </c>
      <c r="J14" s="177">
        <v>1</v>
      </c>
      <c r="K14" s="1696">
        <v>0.085</v>
      </c>
      <c r="L14" s="173"/>
      <c r="M14" s="173">
        <v>0.1</v>
      </c>
      <c r="N14" s="173">
        <v>0.5</v>
      </c>
      <c r="O14" s="173"/>
      <c r="P14" s="177"/>
      <c r="Q14" s="1586"/>
      <c r="R14" s="155"/>
      <c r="S14" s="155"/>
      <c r="T14" s="492"/>
      <c r="U14" s="492"/>
      <c r="V14" s="493"/>
      <c r="W14" s="155"/>
      <c r="X14" s="155"/>
      <c r="Y14" s="155"/>
      <c r="Z14" s="155"/>
      <c r="AA14" s="155"/>
      <c r="AB14" s="494"/>
      <c r="AC14" s="492"/>
      <c r="AD14" s="492"/>
      <c r="AE14" s="492"/>
      <c r="AF14" s="492"/>
      <c r="AG14" s="492"/>
    </row>
    <row r="15" spans="1:33" s="495" customFormat="1" ht="12.75">
      <c r="A15" s="173"/>
      <c r="B15" s="1537" t="s">
        <v>295</v>
      </c>
      <c r="C15" s="174">
        <v>19</v>
      </c>
      <c r="D15" s="175">
        <v>270000</v>
      </c>
      <c r="E15" s="175">
        <v>1.3E-06</v>
      </c>
      <c r="F15" s="175">
        <v>4900</v>
      </c>
      <c r="G15" s="175">
        <v>9550000000</v>
      </c>
      <c r="H15" s="176">
        <v>780000</v>
      </c>
      <c r="I15" s="177">
        <v>2</v>
      </c>
      <c r="J15" s="177">
        <v>1</v>
      </c>
      <c r="K15" s="173"/>
      <c r="L15" s="173"/>
      <c r="M15" s="173">
        <v>0.1</v>
      </c>
      <c r="N15" s="173">
        <v>0.5</v>
      </c>
      <c r="O15" s="173"/>
      <c r="P15" s="177"/>
      <c r="Q15" s="1586"/>
      <c r="R15" s="155"/>
      <c r="S15" s="155"/>
      <c r="T15" s="492"/>
      <c r="U15" s="492"/>
      <c r="V15" s="493"/>
      <c r="W15" s="155"/>
      <c r="X15" s="155"/>
      <c r="Y15" s="155"/>
      <c r="Z15" s="155"/>
      <c r="AA15" s="155"/>
      <c r="AB15" s="494"/>
      <c r="AC15" s="492"/>
      <c r="AD15" s="492"/>
      <c r="AE15" s="492"/>
      <c r="AF15" s="492"/>
      <c r="AG15" s="492"/>
    </row>
    <row r="16" spans="1:33" s="495" customFormat="1" ht="12.75">
      <c r="A16" s="173"/>
      <c r="B16" s="1538" t="s">
        <v>296</v>
      </c>
      <c r="C16" s="205">
        <v>28</v>
      </c>
      <c r="D16" s="206">
        <v>400000</v>
      </c>
      <c r="E16" s="206">
        <v>1.5E-11</v>
      </c>
      <c r="F16" s="206">
        <v>100000</v>
      </c>
      <c r="G16" s="206">
        <v>10700000000</v>
      </c>
      <c r="H16" s="207">
        <v>790000</v>
      </c>
      <c r="I16" s="208">
        <v>2</v>
      </c>
      <c r="J16" s="208">
        <v>1</v>
      </c>
      <c r="K16" s="208"/>
      <c r="L16" s="208"/>
      <c r="M16" s="208">
        <v>0.1</v>
      </c>
      <c r="N16" s="208">
        <v>0.5</v>
      </c>
      <c r="O16" s="208"/>
      <c r="P16" s="208"/>
      <c r="Q16" s="1586"/>
      <c r="R16" s="496"/>
      <c r="S16" s="496"/>
      <c r="T16" s="492"/>
      <c r="U16" s="492"/>
      <c r="V16" s="493"/>
      <c r="W16" s="155"/>
      <c r="X16" s="155"/>
      <c r="Y16" s="155"/>
      <c r="Z16" s="155"/>
      <c r="AA16" s="155"/>
      <c r="AB16" s="494"/>
      <c r="AC16" s="492"/>
      <c r="AD16" s="492"/>
      <c r="AE16" s="492"/>
      <c r="AF16" s="492"/>
      <c r="AG16" s="492"/>
    </row>
    <row r="17" spans="1:33" s="495" customFormat="1" ht="12.75">
      <c r="A17" s="173"/>
      <c r="B17" s="1537" t="s">
        <v>153</v>
      </c>
      <c r="C17" s="174">
        <v>9</v>
      </c>
      <c r="D17" s="175">
        <v>120000</v>
      </c>
      <c r="E17" s="175">
        <v>65</v>
      </c>
      <c r="F17" s="175">
        <v>0.48</v>
      </c>
      <c r="G17" s="175">
        <v>1580</v>
      </c>
      <c r="H17" s="176">
        <v>870000</v>
      </c>
      <c r="I17" s="1695">
        <v>0.1</v>
      </c>
      <c r="J17" s="177">
        <v>2</v>
      </c>
      <c r="K17" s="1696">
        <v>0.114</v>
      </c>
      <c r="L17" s="173"/>
      <c r="M17" s="173">
        <v>0.03</v>
      </c>
      <c r="N17" s="173">
        <v>0.8</v>
      </c>
      <c r="O17" s="173"/>
      <c r="P17" s="177"/>
      <c r="Q17" s="1586"/>
      <c r="R17" s="155"/>
      <c r="S17" s="155"/>
      <c r="T17" s="492"/>
      <c r="U17" s="492"/>
      <c r="V17" s="493"/>
      <c r="W17" s="155"/>
      <c r="X17" s="155"/>
      <c r="Y17" s="155"/>
      <c r="Z17" s="155"/>
      <c r="AA17" s="155"/>
      <c r="AB17" s="494"/>
      <c r="AC17" s="492"/>
      <c r="AD17" s="492"/>
      <c r="AE17" s="492"/>
      <c r="AF17" s="492"/>
      <c r="AG17" s="492"/>
    </row>
    <row r="18" spans="1:33" s="495" customFormat="1" ht="12.75">
      <c r="A18" s="173"/>
      <c r="B18" s="1537" t="s">
        <v>154</v>
      </c>
      <c r="C18" s="174">
        <v>10</v>
      </c>
      <c r="D18" s="175">
        <v>130000</v>
      </c>
      <c r="E18" s="175">
        <v>25</v>
      </c>
      <c r="F18" s="175">
        <f>0.14</f>
        <v>0.14</v>
      </c>
      <c r="G18" s="175">
        <v>2510</v>
      </c>
      <c r="H18" s="176">
        <v>900000</v>
      </c>
      <c r="I18" s="1695">
        <v>0.02</v>
      </c>
      <c r="J18" s="177">
        <v>2</v>
      </c>
      <c r="K18" s="1696">
        <v>0.00086</v>
      </c>
      <c r="L18" s="173"/>
      <c r="M18" s="173">
        <v>0.03</v>
      </c>
      <c r="N18" s="173">
        <v>0.8</v>
      </c>
      <c r="O18" s="173"/>
      <c r="P18" s="177"/>
      <c r="Q18" s="1586"/>
      <c r="R18" s="155"/>
      <c r="S18" s="155"/>
      <c r="T18" s="492"/>
      <c r="U18" s="492"/>
      <c r="V18" s="493"/>
      <c r="W18" s="155"/>
      <c r="X18" s="155"/>
      <c r="Y18" s="155"/>
      <c r="Z18" s="155"/>
      <c r="AA18" s="155"/>
      <c r="AB18" s="494"/>
      <c r="AC18" s="492"/>
      <c r="AD18" s="492"/>
      <c r="AE18" s="492"/>
      <c r="AF18" s="492"/>
      <c r="AG18" s="492"/>
    </row>
    <row r="19" spans="1:33" s="495" customFormat="1" ht="12.75">
      <c r="A19" s="173"/>
      <c r="B19" s="1537" t="s">
        <v>155</v>
      </c>
      <c r="C19" s="174">
        <v>14</v>
      </c>
      <c r="D19" s="175">
        <v>150000</v>
      </c>
      <c r="E19" s="175">
        <v>5.8</v>
      </c>
      <c r="F19" s="175">
        <v>0.053</v>
      </c>
      <c r="G19" s="175">
        <v>5010</v>
      </c>
      <c r="H19" s="176">
        <v>1000000</v>
      </c>
      <c r="I19" s="177">
        <v>0.05</v>
      </c>
      <c r="J19" s="177">
        <v>1</v>
      </c>
      <c r="K19" s="1696">
        <v>0.05</v>
      </c>
      <c r="L19" s="173"/>
      <c r="M19" s="173">
        <v>0.1</v>
      </c>
      <c r="N19" s="173">
        <v>0.5</v>
      </c>
      <c r="O19" s="173"/>
      <c r="P19" s="177"/>
      <c r="Q19" s="1586"/>
      <c r="R19" s="155"/>
      <c r="S19" s="155"/>
      <c r="T19" s="492"/>
      <c r="U19" s="492"/>
      <c r="V19" s="493"/>
      <c r="W19" s="155"/>
      <c r="X19" s="155"/>
      <c r="Y19" s="155"/>
      <c r="Z19" s="155"/>
      <c r="AA19" s="155"/>
      <c r="AB19" s="494"/>
      <c r="AC19" s="492"/>
      <c r="AD19" s="492"/>
      <c r="AE19" s="492"/>
      <c r="AF19" s="492"/>
      <c r="AG19" s="492"/>
    </row>
    <row r="20" spans="1:33" s="495" customFormat="1" ht="12.75">
      <c r="A20" s="173"/>
      <c r="B20" s="1537" t="s">
        <v>156</v>
      </c>
      <c r="C20" s="174">
        <v>19</v>
      </c>
      <c r="D20" s="175">
        <v>190000</v>
      </c>
      <c r="E20" s="175">
        <v>0.51</v>
      </c>
      <c r="F20" s="175">
        <f>0.013</f>
        <v>0.013</v>
      </c>
      <c r="G20" s="175">
        <v>15800</v>
      </c>
      <c r="H20" s="176">
        <v>1160000</v>
      </c>
      <c r="I20" s="177">
        <v>0.03</v>
      </c>
      <c r="J20" s="177">
        <v>1</v>
      </c>
      <c r="K20" s="173"/>
      <c r="L20" s="173"/>
      <c r="M20" s="173">
        <v>0.1</v>
      </c>
      <c r="N20" s="173">
        <v>0.5</v>
      </c>
      <c r="O20" s="173"/>
      <c r="P20" s="177"/>
      <c r="Q20" s="1586"/>
      <c r="R20" s="155"/>
      <c r="S20" s="155"/>
      <c r="T20" s="492"/>
      <c r="U20" s="492"/>
      <c r="V20" s="493"/>
      <c r="W20" s="155"/>
      <c r="X20" s="155"/>
      <c r="Y20" s="155"/>
      <c r="Z20" s="155"/>
      <c r="AA20" s="155"/>
      <c r="AB20" s="494"/>
      <c r="AC20" s="492"/>
      <c r="AD20" s="492"/>
      <c r="AE20" s="492"/>
      <c r="AF20" s="492"/>
      <c r="AG20" s="492"/>
    </row>
    <row r="21" spans="1:33" s="495" customFormat="1" ht="13.5" thickBot="1">
      <c r="A21" s="179"/>
      <c r="B21" s="1539" t="s">
        <v>307</v>
      </c>
      <c r="C21" s="180">
        <v>28</v>
      </c>
      <c r="D21" s="181">
        <v>240000</v>
      </c>
      <c r="E21" s="181">
        <v>0.0066</v>
      </c>
      <c r="F21" s="181">
        <v>0.00067</v>
      </c>
      <c r="G21" s="181">
        <v>126000</v>
      </c>
      <c r="H21" s="182">
        <v>1300000</v>
      </c>
      <c r="I21" s="1697">
        <v>0.04</v>
      </c>
      <c r="J21" s="179">
        <v>1</v>
      </c>
      <c r="K21" s="179"/>
      <c r="L21" s="179"/>
      <c r="M21" s="179">
        <v>0.1</v>
      </c>
      <c r="N21" s="179">
        <v>0.5</v>
      </c>
      <c r="O21" s="179"/>
      <c r="P21" s="179"/>
      <c r="Q21" s="1586"/>
      <c r="R21" s="497"/>
      <c r="S21" s="497"/>
      <c r="T21" s="155"/>
      <c r="U21" s="155"/>
      <c r="V21" s="493"/>
      <c r="W21" s="155"/>
      <c r="X21" s="155"/>
      <c r="Y21" s="155"/>
      <c r="Z21" s="155"/>
      <c r="AA21" s="155"/>
      <c r="AB21" s="494"/>
      <c r="AC21" s="492"/>
      <c r="AD21" s="492"/>
      <c r="AE21" s="492"/>
      <c r="AF21" s="492"/>
      <c r="AG21" s="492"/>
    </row>
    <row r="22" spans="1:33" s="495" customFormat="1" ht="12.75">
      <c r="A22" s="257" t="s">
        <v>315</v>
      </c>
      <c r="B22" s="1537" t="s">
        <v>18</v>
      </c>
      <c r="C22" s="174">
        <v>6.5</v>
      </c>
      <c r="D22" s="175">
        <v>78000</v>
      </c>
      <c r="E22" s="175">
        <v>1750</v>
      </c>
      <c r="F22" s="175">
        <v>0.228</v>
      </c>
      <c r="G22" s="175">
        <v>62</v>
      </c>
      <c r="H22" s="176">
        <v>876500</v>
      </c>
      <c r="I22" s="1695">
        <v>0.004</v>
      </c>
      <c r="J22" s="177">
        <v>2</v>
      </c>
      <c r="K22" s="1696">
        <v>0.00855</v>
      </c>
      <c r="L22" s="173"/>
      <c r="M22" s="173">
        <v>0.0005</v>
      </c>
      <c r="N22" s="173">
        <v>0.95</v>
      </c>
      <c r="O22" s="173">
        <v>0.055</v>
      </c>
      <c r="P22" s="177">
        <v>0.027</v>
      </c>
      <c r="Q22" s="1586"/>
      <c r="R22" s="155">
        <v>1</v>
      </c>
      <c r="S22" s="155">
        <v>0.005</v>
      </c>
      <c r="T22" s="492"/>
      <c r="U22" s="492"/>
      <c r="V22" s="493"/>
      <c r="W22" s="155"/>
      <c r="X22" s="155"/>
      <c r="Y22" s="155"/>
      <c r="Z22" s="155"/>
      <c r="AA22" s="155"/>
      <c r="AB22" s="494"/>
      <c r="AC22" s="492"/>
      <c r="AD22" s="492"/>
      <c r="AE22" s="492"/>
      <c r="AF22" s="492"/>
      <c r="AG22" s="492"/>
    </row>
    <row r="23" spans="1:33" s="495" customFormat="1" ht="12.75">
      <c r="A23" s="257" t="s">
        <v>316</v>
      </c>
      <c r="B23" s="1537" t="s">
        <v>19</v>
      </c>
      <c r="C23" s="174">
        <v>7.6</v>
      </c>
      <c r="D23" s="175">
        <v>92000</v>
      </c>
      <c r="E23" s="175">
        <v>526</v>
      </c>
      <c r="F23" s="175">
        <v>0.272</v>
      </c>
      <c r="G23" s="175">
        <v>140</v>
      </c>
      <c r="H23" s="176">
        <v>866900</v>
      </c>
      <c r="I23" s="1695">
        <v>0.08</v>
      </c>
      <c r="J23" s="177">
        <v>2</v>
      </c>
      <c r="K23" s="1696">
        <v>1.4</v>
      </c>
      <c r="L23" s="173"/>
      <c r="M23" s="173">
        <v>0.03</v>
      </c>
      <c r="N23" s="173">
        <v>1</v>
      </c>
      <c r="O23" s="173"/>
      <c r="P23" s="177"/>
      <c r="Q23" s="1586"/>
      <c r="R23" s="155">
        <v>1</v>
      </c>
      <c r="S23" s="155">
        <v>0.005</v>
      </c>
      <c r="T23" s="492"/>
      <c r="U23" s="492"/>
      <c r="V23" s="493"/>
      <c r="W23" s="155"/>
      <c r="X23" s="155"/>
      <c r="Y23" s="155"/>
      <c r="Z23" s="155"/>
      <c r="AA23" s="155"/>
      <c r="AB23" s="494"/>
      <c r="AC23" s="492"/>
      <c r="AD23" s="492"/>
      <c r="AE23" s="492"/>
      <c r="AF23" s="492"/>
      <c r="AG23" s="492"/>
    </row>
    <row r="24" spans="1:33" s="495" customFormat="1" ht="12.75">
      <c r="A24" s="257" t="s">
        <v>317</v>
      </c>
      <c r="B24" s="1537" t="s">
        <v>113</v>
      </c>
      <c r="C24" s="174">
        <v>8.5</v>
      </c>
      <c r="D24" s="175">
        <v>106000</v>
      </c>
      <c r="E24" s="175">
        <v>169</v>
      </c>
      <c r="F24" s="175">
        <v>0.323</v>
      </c>
      <c r="G24" s="175">
        <v>204</v>
      </c>
      <c r="H24" s="176">
        <v>867000</v>
      </c>
      <c r="I24" s="177">
        <v>0.1</v>
      </c>
      <c r="J24" s="177">
        <v>2</v>
      </c>
      <c r="K24" s="173">
        <v>0.286</v>
      </c>
      <c r="L24" s="173"/>
      <c r="M24" s="173">
        <v>0.03</v>
      </c>
      <c r="N24" s="173">
        <v>0.92</v>
      </c>
      <c r="O24" s="173"/>
      <c r="P24" s="177"/>
      <c r="Q24" s="1586"/>
      <c r="R24" s="493">
        <v>1</v>
      </c>
      <c r="S24" s="155">
        <v>0.005</v>
      </c>
      <c r="T24" s="492"/>
      <c r="U24" s="492"/>
      <c r="V24" s="493"/>
      <c r="W24" s="155"/>
      <c r="X24" s="155"/>
      <c r="Y24" s="155"/>
      <c r="Z24" s="155"/>
      <c r="AA24" s="155"/>
      <c r="AB24" s="494"/>
      <c r="AC24" s="492"/>
      <c r="AD24" s="492"/>
      <c r="AE24" s="492"/>
      <c r="AF24" s="492"/>
      <c r="AG24" s="492"/>
    </row>
    <row r="25" spans="1:33" s="495" customFormat="1" ht="13.5" thickBot="1">
      <c r="A25" s="258"/>
      <c r="B25" s="1539" t="s">
        <v>170</v>
      </c>
      <c r="C25" s="180">
        <v>8.67</v>
      </c>
      <c r="D25" s="181">
        <v>106000</v>
      </c>
      <c r="E25" s="181">
        <v>171</v>
      </c>
      <c r="F25" s="181">
        <v>0.279</v>
      </c>
      <c r="G25" s="181">
        <v>233</v>
      </c>
      <c r="H25" s="182">
        <v>875170</v>
      </c>
      <c r="I25" s="1697">
        <v>0.2</v>
      </c>
      <c r="J25" s="179">
        <v>2</v>
      </c>
      <c r="K25" s="1697">
        <v>0.029</v>
      </c>
      <c r="L25" s="179"/>
      <c r="M25" s="179">
        <v>0.03</v>
      </c>
      <c r="N25" s="179">
        <v>0.9</v>
      </c>
      <c r="O25" s="179"/>
      <c r="P25" s="179"/>
      <c r="Q25" s="1586"/>
      <c r="R25" s="498"/>
      <c r="S25" s="497">
        <v>0.015</v>
      </c>
      <c r="T25" s="155"/>
      <c r="U25" s="155"/>
      <c r="V25" s="493"/>
      <c r="W25" s="155"/>
      <c r="X25" s="155"/>
      <c r="Y25" s="155"/>
      <c r="Z25" s="155"/>
      <c r="AA25" s="155"/>
      <c r="AB25" s="494"/>
      <c r="AC25" s="492"/>
      <c r="AD25" s="492"/>
      <c r="AE25" s="492"/>
      <c r="AF25" s="492"/>
      <c r="AG25" s="492"/>
    </row>
    <row r="26" spans="1:33" s="495" customFormat="1" ht="12.75">
      <c r="A26" s="257" t="s">
        <v>596</v>
      </c>
      <c r="B26" s="1537" t="s">
        <v>594</v>
      </c>
      <c r="C26" s="174">
        <v>11.69</v>
      </c>
      <c r="D26" s="175">
        <v>128000</v>
      </c>
      <c r="E26" s="175">
        <v>31</v>
      </c>
      <c r="F26" s="175">
        <v>0.0198</v>
      </c>
      <c r="G26" s="175">
        <v>1191</v>
      </c>
      <c r="H26" s="176">
        <v>1145000</v>
      </c>
      <c r="I26" s="177">
        <v>0.02</v>
      </c>
      <c r="J26" s="177">
        <v>2</v>
      </c>
      <c r="K26" s="177">
        <v>0.00086</v>
      </c>
      <c r="L26" s="177"/>
      <c r="M26" s="173">
        <v>0.13</v>
      </c>
      <c r="N26" s="173">
        <v>0.89</v>
      </c>
      <c r="O26" s="173"/>
      <c r="P26" s="1529"/>
      <c r="Q26" s="1586"/>
      <c r="R26" s="493">
        <v>1</v>
      </c>
      <c r="S26" s="155">
        <v>0.5</v>
      </c>
      <c r="T26" s="492"/>
      <c r="U26" s="492"/>
      <c r="V26" s="493"/>
      <c r="W26" s="155"/>
      <c r="X26" s="155"/>
      <c r="Y26" s="155"/>
      <c r="Z26" s="155"/>
      <c r="AA26" s="155"/>
      <c r="AB26" s="494"/>
      <c r="AC26" s="492"/>
      <c r="AD26" s="492"/>
      <c r="AE26" s="492"/>
      <c r="AF26" s="492"/>
      <c r="AG26" s="492"/>
    </row>
    <row r="27" spans="1:33" s="495" customFormat="1" ht="12.75">
      <c r="A27" s="1698" t="s">
        <v>597</v>
      </c>
      <c r="B27" s="1798" t="s">
        <v>595</v>
      </c>
      <c r="C27" s="1699"/>
      <c r="D27" s="1700">
        <v>142200</v>
      </c>
      <c r="E27" s="1700">
        <v>25</v>
      </c>
      <c r="F27" s="1700">
        <v>0.021</v>
      </c>
      <c r="G27" s="1700">
        <v>3038</v>
      </c>
      <c r="H27" s="1701">
        <v>1025000</v>
      </c>
      <c r="I27" s="1695">
        <v>0.05</v>
      </c>
      <c r="J27" s="1695">
        <v>2</v>
      </c>
      <c r="K27" s="1695">
        <v>0.05</v>
      </c>
      <c r="L27" s="1695"/>
      <c r="M27" s="1696">
        <v>0.01</v>
      </c>
      <c r="N27" s="1696">
        <v>0.8</v>
      </c>
      <c r="O27" s="1530"/>
      <c r="P27" s="1529"/>
      <c r="Q27" s="1586"/>
      <c r="R27" s="493"/>
      <c r="S27" s="155"/>
      <c r="T27" s="492"/>
      <c r="U27" s="492"/>
      <c r="V27" s="493"/>
      <c r="W27" s="155"/>
      <c r="X27" s="155"/>
      <c r="Y27" s="155"/>
      <c r="Z27" s="155"/>
      <c r="AA27" s="155"/>
      <c r="AB27" s="494"/>
      <c r="AC27" s="492"/>
      <c r="AD27" s="492"/>
      <c r="AE27" s="492"/>
      <c r="AF27" s="492"/>
      <c r="AG27" s="492"/>
    </row>
    <row r="28" spans="1:33" s="495" customFormat="1" ht="12.75">
      <c r="A28" s="1698" t="s">
        <v>598</v>
      </c>
      <c r="B28" s="1798" t="s">
        <v>599</v>
      </c>
      <c r="C28" s="1699"/>
      <c r="D28" s="1700">
        <v>142200</v>
      </c>
      <c r="E28" s="1700">
        <v>24.6</v>
      </c>
      <c r="F28" s="1700">
        <v>0.0212</v>
      </c>
      <c r="G28" s="1700">
        <v>2976</v>
      </c>
      <c r="H28" s="1701">
        <v>990000</v>
      </c>
      <c r="I28" s="1695">
        <v>0.004</v>
      </c>
      <c r="J28" s="1695">
        <v>2</v>
      </c>
      <c r="K28" s="1695">
        <v>0.00086</v>
      </c>
      <c r="L28" s="1695"/>
      <c r="M28" s="1696">
        <v>0.01</v>
      </c>
      <c r="N28" s="1696">
        <v>0.8</v>
      </c>
      <c r="O28" s="1530"/>
      <c r="P28" s="1529"/>
      <c r="Q28" s="1586"/>
      <c r="R28" s="493"/>
      <c r="S28" s="155"/>
      <c r="T28" s="492"/>
      <c r="U28" s="492"/>
      <c r="V28" s="493"/>
      <c r="W28" s="155"/>
      <c r="X28" s="155"/>
      <c r="Y28" s="155"/>
      <c r="Z28" s="155"/>
      <c r="AA28" s="155"/>
      <c r="AB28" s="494"/>
      <c r="AC28" s="492"/>
      <c r="AD28" s="492"/>
      <c r="AE28" s="492"/>
      <c r="AF28" s="492"/>
      <c r="AG28" s="492"/>
    </row>
    <row r="29" spans="1:33" s="495" customFormat="1" ht="12.75">
      <c r="A29" s="257" t="s">
        <v>324</v>
      </c>
      <c r="B29" s="1537" t="s">
        <v>187</v>
      </c>
      <c r="C29" s="174">
        <v>6</v>
      </c>
      <c r="D29" s="175">
        <v>86000</v>
      </c>
      <c r="E29" s="175">
        <v>9.5</v>
      </c>
      <c r="F29" s="175">
        <v>74</v>
      </c>
      <c r="G29" s="175">
        <v>3410</v>
      </c>
      <c r="H29" s="176">
        <v>659370</v>
      </c>
      <c r="I29" s="177">
        <v>0.06</v>
      </c>
      <c r="J29" s="177">
        <v>2</v>
      </c>
      <c r="K29" s="1695">
        <v>0.2</v>
      </c>
      <c r="L29" s="177"/>
      <c r="M29" s="173">
        <v>0.03</v>
      </c>
      <c r="N29" s="173">
        <v>0.8</v>
      </c>
      <c r="O29" s="173"/>
      <c r="P29" s="177"/>
      <c r="Q29" s="1586"/>
      <c r="R29" s="493"/>
      <c r="S29" s="155"/>
      <c r="T29" s="492"/>
      <c r="U29" s="492"/>
      <c r="V29" s="493"/>
      <c r="W29" s="155"/>
      <c r="X29" s="155"/>
      <c r="Y29" s="155"/>
      <c r="Z29" s="155"/>
      <c r="AA29" s="155"/>
      <c r="AB29" s="494"/>
      <c r="AC29" s="492"/>
      <c r="AD29" s="492"/>
      <c r="AE29" s="492"/>
      <c r="AF29" s="492"/>
      <c r="AG29" s="492"/>
    </row>
    <row r="30" spans="1:33" s="495" customFormat="1" ht="13.5" customHeight="1" thickBot="1">
      <c r="A30" s="258" t="s">
        <v>318</v>
      </c>
      <c r="B30" s="1539" t="s">
        <v>173</v>
      </c>
      <c r="C30" s="180"/>
      <c r="D30" s="181">
        <v>88000</v>
      </c>
      <c r="E30" s="181">
        <v>50000</v>
      </c>
      <c r="F30" s="181">
        <v>0.018</v>
      </c>
      <c r="G30" s="181">
        <v>10.9</v>
      </c>
      <c r="H30" s="182">
        <v>744000</v>
      </c>
      <c r="I30" s="179"/>
      <c r="J30" s="179">
        <v>2</v>
      </c>
      <c r="K30" s="1702">
        <v>0.857</v>
      </c>
      <c r="L30" s="179"/>
      <c r="M30" s="179"/>
      <c r="N30" s="179"/>
      <c r="O30" s="179"/>
      <c r="P30" s="179"/>
      <c r="Q30" s="1586"/>
      <c r="R30" s="498">
        <v>1</v>
      </c>
      <c r="S30" s="497">
        <v>0.005</v>
      </c>
      <c r="T30" s="497"/>
      <c r="U30" s="497"/>
      <c r="V30" s="498"/>
      <c r="W30" s="497"/>
      <c r="X30" s="497"/>
      <c r="Y30" s="497"/>
      <c r="Z30" s="497"/>
      <c r="AA30" s="497"/>
      <c r="AB30" s="499"/>
      <c r="AC30" s="492"/>
      <c r="AD30" s="492"/>
      <c r="AE30" s="492"/>
      <c r="AF30" s="492"/>
      <c r="AG30" s="492"/>
    </row>
    <row r="31" spans="1:33" s="495" customFormat="1" ht="17.25" customHeight="1" hidden="1">
      <c r="A31" s="259"/>
      <c r="B31" s="1537"/>
      <c r="C31" s="174"/>
      <c r="D31" s="175"/>
      <c r="E31" s="175"/>
      <c r="F31" s="175"/>
      <c r="G31" s="175"/>
      <c r="H31" s="176"/>
      <c r="I31" s="177"/>
      <c r="J31" s="177"/>
      <c r="K31" s="177"/>
      <c r="L31" s="177"/>
      <c r="M31" s="177"/>
      <c r="N31" s="177"/>
      <c r="O31" s="173"/>
      <c r="P31" s="177"/>
      <c r="Q31" s="1586"/>
      <c r="R31" s="493"/>
      <c r="S31" s="155"/>
      <c r="T31" s="492"/>
      <c r="U31" s="492"/>
      <c r="V31" s="493"/>
      <c r="W31" s="155"/>
      <c r="X31" s="155"/>
      <c r="Y31" s="155"/>
      <c r="Z31" s="155"/>
      <c r="AA31" s="155"/>
      <c r="AB31" s="494"/>
      <c r="AC31" s="492"/>
      <c r="AD31" s="492"/>
      <c r="AE31" s="492"/>
      <c r="AF31" s="492"/>
      <c r="AG31" s="492"/>
    </row>
    <row r="32" spans="1:33" s="495" customFormat="1" ht="22.5" customHeight="1" hidden="1">
      <c r="A32" s="260"/>
      <c r="B32" s="1540" t="s">
        <v>130</v>
      </c>
      <c r="C32" s="178"/>
      <c r="D32" s="184">
        <v>0</v>
      </c>
      <c r="E32" s="184">
        <v>0</v>
      </c>
      <c r="F32" s="184">
        <v>0</v>
      </c>
      <c r="G32" s="184">
        <v>0</v>
      </c>
      <c r="H32" s="185"/>
      <c r="I32" s="173"/>
      <c r="J32" s="173"/>
      <c r="K32" s="173"/>
      <c r="L32" s="186"/>
      <c r="M32" s="173"/>
      <c r="N32" s="173"/>
      <c r="O32" s="173"/>
      <c r="P32" s="177"/>
      <c r="Q32" s="1586"/>
      <c r="R32" s="493"/>
      <c r="S32" s="155"/>
      <c r="T32" s="492"/>
      <c r="U32" s="492"/>
      <c r="V32" s="500">
        <v>0</v>
      </c>
      <c r="W32" s="501"/>
      <c r="X32" s="501"/>
      <c r="Y32" s="502"/>
      <c r="Z32" s="503"/>
      <c r="AA32" s="502"/>
      <c r="AB32" s="504"/>
      <c r="AC32" s="492"/>
      <c r="AD32" s="492"/>
      <c r="AE32" s="492"/>
      <c r="AF32" s="492"/>
      <c r="AG32" s="492"/>
    </row>
    <row r="33" spans="1:33" s="495" customFormat="1" ht="12.75" hidden="1">
      <c r="A33" s="260"/>
      <c r="B33" s="1540"/>
      <c r="C33" s="178"/>
      <c r="D33" s="188"/>
      <c r="E33" s="187"/>
      <c r="F33" s="187"/>
      <c r="G33" s="187"/>
      <c r="H33" s="189"/>
      <c r="I33" s="173"/>
      <c r="J33" s="173"/>
      <c r="K33" s="173"/>
      <c r="L33" s="186"/>
      <c r="M33" s="173"/>
      <c r="N33" s="173"/>
      <c r="O33" s="173"/>
      <c r="P33" s="177"/>
      <c r="Q33" s="1586"/>
      <c r="R33" s="493"/>
      <c r="S33" s="155"/>
      <c r="T33" s="492"/>
      <c r="U33" s="492"/>
      <c r="V33" s="500"/>
      <c r="W33" s="501"/>
      <c r="X33" s="501"/>
      <c r="Y33" s="502"/>
      <c r="Z33" s="503"/>
      <c r="AA33" s="502"/>
      <c r="AB33" s="504"/>
      <c r="AC33" s="492"/>
      <c r="AD33" s="492"/>
      <c r="AE33" s="492"/>
      <c r="AF33" s="492"/>
      <c r="AG33" s="492"/>
    </row>
    <row r="34" spans="1:33" s="495" customFormat="1" ht="12.75">
      <c r="A34" s="260" t="s">
        <v>319</v>
      </c>
      <c r="B34" s="1541" t="s">
        <v>226</v>
      </c>
      <c r="C34" s="178"/>
      <c r="D34" s="184">
        <f>187.9*1000</f>
        <v>187900</v>
      </c>
      <c r="E34" s="184">
        <v>3400</v>
      </c>
      <c r="F34" s="184">
        <v>0.0129</v>
      </c>
      <c r="G34" s="184">
        <v>66</v>
      </c>
      <c r="H34" s="185">
        <f>2.17*1000000</f>
        <v>2170000</v>
      </c>
      <c r="I34" s="1696">
        <v>0.009</v>
      </c>
      <c r="J34" s="173">
        <v>2</v>
      </c>
      <c r="K34" s="1696">
        <v>0.00257</v>
      </c>
      <c r="L34" s="186"/>
      <c r="M34" s="173">
        <v>0.03</v>
      </c>
      <c r="N34" s="173">
        <v>0.8</v>
      </c>
      <c r="O34" s="173">
        <v>85</v>
      </c>
      <c r="P34" s="177">
        <v>0.76</v>
      </c>
      <c r="Q34" s="1586"/>
      <c r="R34" s="493">
        <v>0.01</v>
      </c>
      <c r="S34" s="155">
        <v>0.005</v>
      </c>
      <c r="T34" s="492"/>
      <c r="U34" s="492"/>
      <c r="V34" s="500"/>
      <c r="W34" s="501"/>
      <c r="X34" s="501"/>
      <c r="Y34" s="502"/>
      <c r="Z34" s="503"/>
      <c r="AA34" s="502"/>
      <c r="AB34" s="504"/>
      <c r="AC34" s="492"/>
      <c r="AD34" s="492"/>
      <c r="AE34" s="492"/>
      <c r="AF34" s="492"/>
      <c r="AG34" s="492"/>
    </row>
    <row r="35" spans="1:33" s="495" customFormat="1" ht="13.5" thickBot="1">
      <c r="A35" s="261" t="s">
        <v>320</v>
      </c>
      <c r="B35" s="1542" t="s">
        <v>227</v>
      </c>
      <c r="C35" s="183"/>
      <c r="D35" s="190">
        <f>99*1000</f>
        <v>99000</v>
      </c>
      <c r="E35" s="190">
        <v>8520</v>
      </c>
      <c r="F35" s="190">
        <v>0.0401</v>
      </c>
      <c r="G35" s="190">
        <v>38</v>
      </c>
      <c r="H35" s="191">
        <f>1.253*1000000</f>
        <v>1253000</v>
      </c>
      <c r="I35" s="197">
        <v>0.03</v>
      </c>
      <c r="J35" s="197">
        <v>2</v>
      </c>
      <c r="K35" s="197">
        <v>0.0014</v>
      </c>
      <c r="L35" s="192"/>
      <c r="M35" s="179">
        <v>0.03</v>
      </c>
      <c r="N35" s="179">
        <v>0.8</v>
      </c>
      <c r="O35" s="179">
        <v>0.091</v>
      </c>
      <c r="P35" s="179">
        <v>0.091</v>
      </c>
      <c r="Q35" s="1586"/>
      <c r="R35" s="498"/>
      <c r="S35" s="497"/>
      <c r="T35" s="155"/>
      <c r="U35" s="155"/>
      <c r="V35" s="500"/>
      <c r="W35" s="501"/>
      <c r="X35" s="501"/>
      <c r="Y35" s="502"/>
      <c r="Z35" s="503"/>
      <c r="AA35" s="502"/>
      <c r="AB35" s="504"/>
      <c r="AC35" s="492"/>
      <c r="AD35" s="492"/>
      <c r="AE35" s="492"/>
      <c r="AF35" s="492"/>
      <c r="AG35" s="492"/>
    </row>
    <row r="36" spans="1:33" s="495" customFormat="1" ht="12.75">
      <c r="A36" s="260" t="s">
        <v>231</v>
      </c>
      <c r="B36" s="1541" t="s">
        <v>228</v>
      </c>
      <c r="C36" s="178"/>
      <c r="D36" s="184">
        <v>228300</v>
      </c>
      <c r="E36" s="184">
        <v>0.0094</v>
      </c>
      <c r="F36" s="184">
        <v>0.000137</v>
      </c>
      <c r="G36" s="184">
        <v>357537</v>
      </c>
      <c r="H36" s="185">
        <v>1274000</v>
      </c>
      <c r="I36" s="173"/>
      <c r="J36" s="173">
        <v>1</v>
      </c>
      <c r="K36" s="173"/>
      <c r="L36" s="186"/>
      <c r="M36" s="173">
        <v>0.13</v>
      </c>
      <c r="N36" s="173">
        <v>0.89</v>
      </c>
      <c r="O36" s="173">
        <f>BAPo*0.1</f>
        <v>0.73</v>
      </c>
      <c r="P36" s="177">
        <f>BAPi*0.1</f>
        <v>0.61</v>
      </c>
      <c r="Q36" s="1586"/>
      <c r="R36" s="493">
        <v>0.02</v>
      </c>
      <c r="S36" s="155">
        <v>0.05</v>
      </c>
      <c r="T36" s="492"/>
      <c r="U36" s="492"/>
      <c r="V36" s="500"/>
      <c r="W36" s="501"/>
      <c r="X36" s="501"/>
      <c r="Y36" s="502"/>
      <c r="Z36" s="503"/>
      <c r="AA36" s="502"/>
      <c r="AB36" s="504"/>
      <c r="AC36" s="492"/>
      <c r="AD36" s="492"/>
      <c r="AE36" s="492"/>
      <c r="AF36" s="492"/>
      <c r="AG36" s="492"/>
    </row>
    <row r="37" spans="1:33" s="495" customFormat="1" ht="12.75">
      <c r="A37" s="260" t="s">
        <v>229</v>
      </c>
      <c r="B37" s="1541" t="s">
        <v>132</v>
      </c>
      <c r="C37" s="178"/>
      <c r="D37" s="184">
        <f>252.3*1000</f>
        <v>252300</v>
      </c>
      <c r="E37" s="184">
        <v>0.0015</v>
      </c>
      <c r="F37" s="184">
        <v>0.00455</v>
      </c>
      <c r="G37" s="184">
        <v>1230000</v>
      </c>
      <c r="H37" s="185">
        <f>1.3*1000000</f>
        <v>1300000</v>
      </c>
      <c r="I37" s="173"/>
      <c r="J37" s="173">
        <v>1</v>
      </c>
      <c r="K37" s="173"/>
      <c r="L37" s="186"/>
      <c r="M37" s="173">
        <v>0.13</v>
      </c>
      <c r="N37" s="173">
        <v>0.89</v>
      </c>
      <c r="O37" s="173">
        <f>BAPo*0.1</f>
        <v>0.73</v>
      </c>
      <c r="P37" s="177">
        <f>BAPi*0.1</f>
        <v>0.61</v>
      </c>
      <c r="Q37" s="1586"/>
      <c r="R37" s="493">
        <v>0.02</v>
      </c>
      <c r="S37" s="155"/>
      <c r="T37" s="492"/>
      <c r="U37" s="492"/>
      <c r="V37" s="500"/>
      <c r="W37" s="501"/>
      <c r="X37" s="501"/>
      <c r="Y37" s="502"/>
      <c r="Z37" s="503"/>
      <c r="AA37" s="502"/>
      <c r="AB37" s="504"/>
      <c r="AC37" s="492"/>
      <c r="AD37" s="492"/>
      <c r="AE37" s="492"/>
      <c r="AF37" s="492"/>
      <c r="AG37" s="492"/>
    </row>
    <row r="38" spans="1:33" s="495" customFormat="1" ht="12.75">
      <c r="A38" s="260" t="s">
        <v>230</v>
      </c>
      <c r="B38" s="1541" t="s">
        <v>133</v>
      </c>
      <c r="C38" s="178"/>
      <c r="D38" s="184">
        <f>252.3*1000</f>
        <v>252300</v>
      </c>
      <c r="E38" s="184">
        <v>0.0008</v>
      </c>
      <c r="F38" s="184">
        <v>3.4E-05</v>
      </c>
      <c r="G38" s="184">
        <v>1230000</v>
      </c>
      <c r="H38" s="185">
        <f>1.3*1000000</f>
        <v>1300000</v>
      </c>
      <c r="I38" s="173"/>
      <c r="J38" s="173">
        <v>1</v>
      </c>
      <c r="K38" s="173"/>
      <c r="L38" s="186"/>
      <c r="M38" s="173">
        <v>0.13</v>
      </c>
      <c r="N38" s="173">
        <v>0.89</v>
      </c>
      <c r="O38" s="173">
        <f>BAPo*0.1</f>
        <v>0.73</v>
      </c>
      <c r="P38" s="177">
        <f>BAPi*0.1</f>
        <v>0.61</v>
      </c>
      <c r="Q38" s="1586"/>
      <c r="R38" s="493">
        <v>0.02</v>
      </c>
      <c r="S38" s="155"/>
      <c r="T38" s="492"/>
      <c r="U38" s="492"/>
      <c r="V38" s="500"/>
      <c r="W38" s="501"/>
      <c r="X38" s="501"/>
      <c r="Y38" s="502"/>
      <c r="Z38" s="503"/>
      <c r="AA38" s="502"/>
      <c r="AB38" s="504"/>
      <c r="AC38" s="492"/>
      <c r="AD38" s="492"/>
      <c r="AE38" s="492"/>
      <c r="AF38" s="492"/>
      <c r="AG38" s="492"/>
    </row>
    <row r="39" spans="1:33" s="495" customFormat="1" ht="12.75">
      <c r="A39" s="260" t="s">
        <v>321</v>
      </c>
      <c r="B39" s="1541" t="s">
        <v>131</v>
      </c>
      <c r="C39" s="178"/>
      <c r="D39" s="184">
        <v>252300</v>
      </c>
      <c r="E39" s="184">
        <v>0.00162</v>
      </c>
      <c r="F39" s="184">
        <v>4.63E-05</v>
      </c>
      <c r="G39" s="184">
        <v>968774</v>
      </c>
      <c r="H39" s="185">
        <v>1300000</v>
      </c>
      <c r="I39" s="173"/>
      <c r="J39" s="173">
        <v>1</v>
      </c>
      <c r="K39" s="173"/>
      <c r="L39" s="186"/>
      <c r="M39" s="173">
        <v>0.13</v>
      </c>
      <c r="N39" s="173">
        <v>0.89</v>
      </c>
      <c r="O39" s="173">
        <f>7.3*1</f>
        <v>7.3</v>
      </c>
      <c r="P39" s="177">
        <f>6.1*1</f>
        <v>6.1</v>
      </c>
      <c r="Q39" s="1586"/>
      <c r="R39" s="493">
        <v>0.02</v>
      </c>
      <c r="S39" s="155"/>
      <c r="T39" s="492"/>
      <c r="U39" s="492"/>
      <c r="V39" s="500"/>
      <c r="W39" s="501"/>
      <c r="X39" s="501"/>
      <c r="Y39" s="502"/>
      <c r="Z39" s="503"/>
      <c r="AA39" s="502"/>
      <c r="AB39" s="504"/>
      <c r="AC39" s="492"/>
      <c r="AD39" s="492"/>
      <c r="AE39" s="492"/>
      <c r="AF39" s="492"/>
      <c r="AG39" s="492"/>
    </row>
    <row r="40" spans="1:33" s="495" customFormat="1" ht="12.75">
      <c r="A40" s="260" t="s">
        <v>232</v>
      </c>
      <c r="B40" s="1541" t="s">
        <v>134</v>
      </c>
      <c r="C40" s="178"/>
      <c r="D40" s="184">
        <f>228.3*1000</f>
        <v>228300</v>
      </c>
      <c r="E40" s="184">
        <v>0.0016</v>
      </c>
      <c r="F40" s="184">
        <v>0.00388</v>
      </c>
      <c r="G40" s="184">
        <v>398000</v>
      </c>
      <c r="H40" s="185">
        <f>1.274*1000000</f>
        <v>1274000</v>
      </c>
      <c r="I40" s="173"/>
      <c r="J40" s="173">
        <v>1</v>
      </c>
      <c r="K40" s="173"/>
      <c r="L40" s="186"/>
      <c r="M40" s="173">
        <v>0.13</v>
      </c>
      <c r="N40" s="173">
        <v>0.89</v>
      </c>
      <c r="O40" s="173">
        <f>BAPo*0.01</f>
        <v>0.073</v>
      </c>
      <c r="P40" s="177">
        <f>BAPi*0.01</f>
        <v>0.061</v>
      </c>
      <c r="Q40" s="1586"/>
      <c r="R40" s="493">
        <v>0.02</v>
      </c>
      <c r="S40" s="155"/>
      <c r="T40" s="492"/>
      <c r="U40" s="492"/>
      <c r="V40" s="500"/>
      <c r="W40" s="501"/>
      <c r="X40" s="501"/>
      <c r="Y40" s="502"/>
      <c r="Z40" s="503"/>
      <c r="AA40" s="502"/>
      <c r="AB40" s="504"/>
      <c r="AC40" s="492"/>
      <c r="AD40" s="492"/>
      <c r="AE40" s="492"/>
      <c r="AF40" s="492"/>
      <c r="AG40" s="492"/>
    </row>
    <row r="41" spans="1:33" s="495" customFormat="1" ht="12.75">
      <c r="A41" s="1842" t="s">
        <v>322</v>
      </c>
      <c r="B41" s="1843" t="s">
        <v>623</v>
      </c>
      <c r="C41" s="178"/>
      <c r="D41" s="184">
        <v>278000</v>
      </c>
      <c r="E41" s="184">
        <v>0.00249</v>
      </c>
      <c r="F41" s="184">
        <v>6.03E-07</v>
      </c>
      <c r="G41" s="184">
        <v>1789101</v>
      </c>
      <c r="H41" s="185">
        <f>1.26*1000000</f>
        <v>1260000</v>
      </c>
      <c r="I41" s="173"/>
      <c r="J41" s="173">
        <v>1</v>
      </c>
      <c r="K41" s="173"/>
      <c r="L41" s="186"/>
      <c r="M41" s="173">
        <v>0.13</v>
      </c>
      <c r="N41" s="173">
        <v>0.89</v>
      </c>
      <c r="O41" s="1696">
        <f>BAPo*0.1</f>
        <v>0.73</v>
      </c>
      <c r="P41" s="1695">
        <f>BAPi*0.1</f>
        <v>0.61</v>
      </c>
      <c r="Q41" s="1586"/>
      <c r="R41" s="493">
        <v>0.02</v>
      </c>
      <c r="S41" s="155"/>
      <c r="T41" s="492"/>
      <c r="U41" s="492"/>
      <c r="V41" s="500"/>
      <c r="W41" s="501"/>
      <c r="X41" s="501"/>
      <c r="Y41" s="502"/>
      <c r="Z41" s="503"/>
      <c r="AA41" s="502"/>
      <c r="AB41" s="504"/>
      <c r="AC41" s="492"/>
      <c r="AD41" s="492"/>
      <c r="AE41" s="492"/>
      <c r="AF41" s="492"/>
      <c r="AG41" s="492"/>
    </row>
    <row r="42" spans="1:33" s="495" customFormat="1" ht="13.5" thickBot="1">
      <c r="A42" s="261" t="s">
        <v>323</v>
      </c>
      <c r="B42" s="1542" t="s">
        <v>135</v>
      </c>
      <c r="C42" s="183"/>
      <c r="D42" s="190">
        <v>276300</v>
      </c>
      <c r="E42" s="190">
        <v>2.2E-05</v>
      </c>
      <c r="F42" s="190">
        <v>6.56E-05</v>
      </c>
      <c r="G42" s="190">
        <v>3470000</v>
      </c>
      <c r="H42" s="191">
        <f>1300000</f>
        <v>1300000</v>
      </c>
      <c r="I42" s="179"/>
      <c r="J42" s="179">
        <v>1</v>
      </c>
      <c r="K42" s="179"/>
      <c r="L42" s="192"/>
      <c r="M42" s="179">
        <v>0.13</v>
      </c>
      <c r="N42" s="179">
        <v>0.89</v>
      </c>
      <c r="O42" s="179">
        <f>BAPo*0.1</f>
        <v>0.73</v>
      </c>
      <c r="P42" s="179">
        <f>BAPi*0.1</f>
        <v>0.61</v>
      </c>
      <c r="Q42" s="1586"/>
      <c r="R42" s="498">
        <v>0.02</v>
      </c>
      <c r="S42" s="497"/>
      <c r="T42" s="497"/>
      <c r="U42" s="497"/>
      <c r="V42" s="505"/>
      <c r="W42" s="506"/>
      <c r="X42" s="506"/>
      <c r="Y42" s="507"/>
      <c r="Z42" s="508"/>
      <c r="AA42" s="507"/>
      <c r="AB42" s="1587"/>
      <c r="AC42" s="155"/>
      <c r="AD42" s="155"/>
      <c r="AE42" s="155"/>
      <c r="AF42" s="492"/>
      <c r="AG42" s="492"/>
    </row>
    <row r="43" spans="1:33" s="495" customFormat="1" ht="13.5" customHeight="1">
      <c r="A43" s="262"/>
      <c r="B43" s="193"/>
      <c r="C43" s="173"/>
      <c r="D43" s="184"/>
      <c r="E43" s="184"/>
      <c r="F43" s="184"/>
      <c r="G43" s="184"/>
      <c r="H43" s="184"/>
      <c r="I43" s="173"/>
      <c r="J43" s="173"/>
      <c r="K43" s="194"/>
      <c r="L43" s="195"/>
      <c r="M43" s="194"/>
      <c r="N43" s="173"/>
      <c r="O43" s="173"/>
      <c r="P43" s="177"/>
      <c r="Q43" s="1585"/>
      <c r="R43" s="492"/>
      <c r="S43" s="492"/>
      <c r="T43" s="492"/>
      <c r="U43" s="492"/>
      <c r="V43" s="500"/>
      <c r="W43" s="501"/>
      <c r="X43" s="501"/>
      <c r="Y43" s="502"/>
      <c r="Z43" s="503"/>
      <c r="AA43" s="502"/>
      <c r="AB43" s="504"/>
      <c r="AC43" s="492"/>
      <c r="AD43" s="492"/>
      <c r="AE43" s="492"/>
      <c r="AF43" s="492"/>
      <c r="AG43" s="492"/>
    </row>
    <row r="44" spans="1:33" s="495" customFormat="1" ht="12.75">
      <c r="A44" s="492"/>
      <c r="B44" s="155"/>
      <c r="C44" s="492"/>
      <c r="D44" s="492"/>
      <c r="E44" s="492"/>
      <c r="F44" s="492"/>
      <c r="G44" s="492"/>
      <c r="H44" s="492"/>
      <c r="I44" s="492"/>
      <c r="J44" s="492"/>
      <c r="K44" s="509"/>
      <c r="L44" s="509"/>
      <c r="M44" s="509"/>
      <c r="N44" s="509"/>
      <c r="O44" s="492"/>
      <c r="P44" s="155"/>
      <c r="Q44" s="492"/>
      <c r="R44" s="492"/>
      <c r="S44" s="492"/>
      <c r="T44" s="492"/>
      <c r="U44" s="492"/>
      <c r="V44" s="492"/>
      <c r="W44" s="492"/>
      <c r="X44" s="492"/>
      <c r="Y44" s="492"/>
      <c r="Z44" s="492"/>
      <c r="AA44" s="492"/>
      <c r="AB44" s="492"/>
      <c r="AC44" s="492"/>
      <c r="AD44" s="492"/>
      <c r="AE44" s="492"/>
      <c r="AF44" s="492"/>
      <c r="AG44" s="492"/>
    </row>
  </sheetData>
  <sheetProtection password="D518" sheet="1" objects="1" scenarios="1"/>
  <mergeCells count="5">
    <mergeCell ref="D3:H3"/>
    <mergeCell ref="I4:P4"/>
    <mergeCell ref="R6:S6"/>
    <mergeCell ref="R4:S4"/>
    <mergeCell ref="D4:H4"/>
  </mergeCells>
  <hyperlinks>
    <hyperlink ref="D3" r:id="rId1" display="    Note:  Please refer to &quot;CLARC VER 3.1 2001&quot; for the source of Database"/>
    <hyperlink ref="D3:H3" r:id="rId2" display="Note:  Please refer to &quot;CLARC&quot; for the source of Database"/>
  </hyperlinks>
  <printOptions/>
  <pageMargins left="0.37" right="0.21" top="0.78" bottom="0" header="0.38" footer="0.5"/>
  <pageSetup blackAndWhite="1" horizontalDpi="600" verticalDpi="600" orientation="landscape" scale="74" r:id="rId5"/>
  <headerFooter alignWithMargins="0">
    <oddHeader>&amp;CWashington State Department of Ecology, Toxics Cleanup Program: Database - Properties of Chemicals</oddHeader>
    <oddFooter>&amp;R&amp;D: &amp;F</oddFooter>
  </headerFooter>
  <legacyDrawing r:id="rId4"/>
</worksheet>
</file>

<file path=xl/worksheets/sheet2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5546875" defaultRowHeight="4.5" customHeight="1"/>
  <cols>
    <col min="1" max="16384" width="0.85546875" style="44" customWidth="1"/>
  </cols>
  <sheetData/>
  <sheetProtection sheet="1"/>
  <printOptions/>
  <pageMargins left="0.31"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22.xml><?xml version="1.0" encoding="utf-8"?>
<worksheet xmlns="http://schemas.openxmlformats.org/spreadsheetml/2006/main" xmlns:r="http://schemas.openxmlformats.org/officeDocument/2006/relationships">
  <sheetPr codeName="Sheet3"/>
  <dimension ref="A1:Y73"/>
  <sheetViews>
    <sheetView showGridLines="0" showRowColHeaders="0" zoomScale="84" zoomScaleNormal="84" zoomScalePageLayoutView="0" workbookViewId="0" topLeftCell="A1">
      <selection activeCell="A1" sqref="A1"/>
    </sheetView>
  </sheetViews>
  <sheetFormatPr defaultColWidth="9.140625" defaultRowHeight="12.75"/>
  <cols>
    <col min="1" max="1" width="20.57421875" style="150" customWidth="1"/>
    <col min="2" max="2" width="11.00390625" style="150" customWidth="1"/>
    <col min="3" max="3" width="10.00390625" style="150" customWidth="1"/>
    <col min="4" max="4" width="10.7109375" style="150" customWidth="1"/>
    <col min="5" max="5" width="12.00390625" style="150" customWidth="1"/>
    <col min="6" max="6" width="10.421875" style="150" customWidth="1"/>
    <col min="7" max="7" width="10.00390625" style="150" customWidth="1"/>
    <col min="8" max="8" width="12.28125" style="150" hidden="1" customWidth="1"/>
    <col min="9" max="9" width="8.140625" style="150" hidden="1" customWidth="1"/>
    <col min="10" max="10" width="8.7109375" style="150" customWidth="1"/>
    <col min="11" max="11" width="11.00390625" style="8" hidden="1" customWidth="1"/>
    <col min="12" max="12" width="3.421875" style="8" hidden="1" customWidth="1"/>
    <col min="13" max="13" width="3.00390625" style="8" hidden="1" customWidth="1"/>
    <col min="14" max="14" width="2.57421875" style="8" hidden="1" customWidth="1"/>
    <col min="15" max="15" width="2.57421875" style="134" hidden="1" customWidth="1"/>
    <col min="16" max="16" width="2.140625" style="134" hidden="1" customWidth="1"/>
    <col min="17" max="17" width="3.00390625" style="134" hidden="1" customWidth="1"/>
    <col min="18" max="18" width="1.28515625" style="8" customWidth="1"/>
    <col min="19" max="19" width="33.421875" style="8" customWidth="1"/>
    <col min="20" max="20" width="13.7109375" style="8" customWidth="1"/>
    <col min="21" max="21" width="9.421875" style="8" customWidth="1"/>
    <col min="22" max="22" width="14.140625" style="8" customWidth="1"/>
    <col min="23" max="23" width="18.28125" style="8" customWidth="1"/>
    <col min="24" max="24" width="6.140625" style="8" bestFit="1" customWidth="1"/>
    <col min="25" max="16384" width="9.140625" style="8" customWidth="1"/>
  </cols>
  <sheetData>
    <row r="1" spans="1:22" ht="18.75">
      <c r="A1" s="1007" t="s">
        <v>586</v>
      </c>
      <c r="B1" s="252"/>
      <c r="C1" s="252"/>
      <c r="D1" s="252"/>
      <c r="E1" s="252"/>
      <c r="F1" s="252"/>
      <c r="G1" s="252"/>
      <c r="H1" s="252"/>
      <c r="I1" s="252"/>
      <c r="J1" s="252"/>
      <c r="K1" s="222"/>
      <c r="L1" s="222"/>
      <c r="M1" s="222"/>
      <c r="N1" s="222"/>
      <c r="O1" s="230"/>
      <c r="P1" s="230"/>
      <c r="Q1" s="230"/>
      <c r="R1" s="222"/>
      <c r="S1" s="222"/>
      <c r="T1" s="222"/>
      <c r="U1" s="222"/>
      <c r="V1" s="222"/>
    </row>
    <row r="2" spans="1:22" ht="18.75">
      <c r="A2" s="1008" t="s">
        <v>587</v>
      </c>
      <c r="B2" s="1009"/>
      <c r="C2" s="1009"/>
      <c r="D2" s="1009"/>
      <c r="E2" s="1009"/>
      <c r="F2" s="1009"/>
      <c r="G2" s="1009"/>
      <c r="H2" s="1009"/>
      <c r="I2" s="1009"/>
      <c r="J2" s="1009"/>
      <c r="K2" s="222"/>
      <c r="L2" s="222"/>
      <c r="M2" s="222"/>
      <c r="N2" s="222"/>
      <c r="O2" s="230"/>
      <c r="P2" s="230"/>
      <c r="Q2" s="230"/>
      <c r="R2" s="222"/>
      <c r="S2" s="222"/>
      <c r="T2" s="325"/>
      <c r="U2" s="222"/>
      <c r="V2" s="222"/>
    </row>
    <row r="3" spans="1:22" ht="12" customHeight="1" thickBot="1">
      <c r="A3" s="607" t="str">
        <f>MainForm!B3</f>
        <v>Date:</v>
      </c>
      <c r="B3" s="2182">
        <f>MainForm!C3</f>
        <v>38822</v>
      </c>
      <c r="C3" s="2182"/>
      <c r="D3" s="2182"/>
      <c r="E3" s="2182"/>
      <c r="F3" s="2182"/>
      <c r="G3" s="2182"/>
      <c r="H3" s="2182"/>
      <c r="I3" s="2182"/>
      <c r="J3" s="2182"/>
      <c r="K3" s="232"/>
      <c r="L3" s="232"/>
      <c r="M3" s="232"/>
      <c r="N3" s="232"/>
      <c r="O3" s="231"/>
      <c r="P3" s="231"/>
      <c r="Q3" s="231"/>
      <c r="R3" s="222"/>
      <c r="S3" s="222"/>
      <c r="T3" s="222"/>
      <c r="U3" s="222"/>
      <c r="V3" s="222"/>
    </row>
    <row r="4" spans="1:22" ht="17.25" customHeight="1" thickBot="1">
      <c r="A4" s="607" t="str">
        <f>MainForm!B4</f>
        <v>Site Name:</v>
      </c>
      <c r="B4" s="1010" t="str">
        <f>MainForm!C4</f>
        <v>ooo</v>
      </c>
      <c r="C4" s="267"/>
      <c r="D4" s="608"/>
      <c r="E4" s="608"/>
      <c r="F4" s="608"/>
      <c r="G4" s="608"/>
      <c r="H4" s="608"/>
      <c r="I4" s="608"/>
      <c r="J4" s="608"/>
      <c r="K4" s="232"/>
      <c r="L4" s="232"/>
      <c r="M4" s="232"/>
      <c r="N4" s="232"/>
      <c r="O4" s="231"/>
      <c r="P4" s="231"/>
      <c r="Q4" s="231"/>
      <c r="R4" s="222"/>
      <c r="S4" s="2183" t="s">
        <v>548</v>
      </c>
      <c r="T4" s="2184"/>
      <c r="U4" s="2184"/>
      <c r="V4" s="2185"/>
    </row>
    <row r="5" spans="1:22" ht="18.75" customHeight="1" thickTop="1">
      <c r="A5" s="1011" t="str">
        <f>MainForm!B5</f>
        <v>Sample Name:</v>
      </c>
      <c r="B5" s="1012">
        <f>MainForm!C5</f>
        <v>0</v>
      </c>
      <c r="C5" s="1013"/>
      <c r="D5" s="1014"/>
      <c r="E5" s="1014"/>
      <c r="F5" s="1014"/>
      <c r="G5" s="1014"/>
      <c r="H5" s="1014"/>
      <c r="I5" s="1014"/>
      <c r="J5" s="1009"/>
      <c r="K5" s="222"/>
      <c r="L5" s="222"/>
      <c r="M5" s="222"/>
      <c r="N5" s="232"/>
      <c r="O5" s="231"/>
      <c r="P5" s="231"/>
      <c r="Q5" s="231"/>
      <c r="R5" s="222"/>
      <c r="S5" s="1053" t="s">
        <v>275</v>
      </c>
      <c r="T5" s="1054" t="s">
        <v>274</v>
      </c>
      <c r="U5" s="1055" t="s">
        <v>366</v>
      </c>
      <c r="V5" s="1056" t="s">
        <v>365</v>
      </c>
    </row>
    <row r="6" spans="1:22" ht="18" customHeight="1" thickBot="1">
      <c r="A6" s="607"/>
      <c r="B6" s="267"/>
      <c r="C6" s="267"/>
      <c r="D6" s="608"/>
      <c r="E6" s="608"/>
      <c r="F6" s="608"/>
      <c r="G6" s="608"/>
      <c r="H6" s="608"/>
      <c r="I6" s="608"/>
      <c r="J6" s="252"/>
      <c r="K6" s="222"/>
      <c r="L6" s="222"/>
      <c r="M6" s="222"/>
      <c r="N6" s="232"/>
      <c r="O6" s="231"/>
      <c r="P6" s="231"/>
      <c r="Q6" s="231"/>
      <c r="R6" s="222"/>
      <c r="S6" s="1015" t="s">
        <v>544</v>
      </c>
      <c r="T6" s="1068" t="s">
        <v>29</v>
      </c>
      <c r="U6" s="139">
        <f>porosity</f>
        <v>0.43</v>
      </c>
      <c r="V6" s="1057" t="s">
        <v>63</v>
      </c>
    </row>
    <row r="7" spans="1:22" ht="16.5" customHeight="1" thickBot="1">
      <c r="A7" s="2164" t="s">
        <v>539</v>
      </c>
      <c r="B7" s="2167" t="s">
        <v>364</v>
      </c>
      <c r="C7" s="2169" t="s">
        <v>523</v>
      </c>
      <c r="D7" s="2190" t="s">
        <v>251</v>
      </c>
      <c r="E7" s="2191"/>
      <c r="F7" s="2191"/>
      <c r="G7" s="2191"/>
      <c r="H7" s="2191"/>
      <c r="I7" s="2191"/>
      <c r="J7" s="2192"/>
      <c r="K7" s="222"/>
      <c r="L7" s="222"/>
      <c r="M7" s="222"/>
      <c r="N7" s="222"/>
      <c r="O7" s="230"/>
      <c r="P7" s="230"/>
      <c r="Q7" s="230"/>
      <c r="R7" s="222"/>
      <c r="S7" s="1017" t="s">
        <v>542</v>
      </c>
      <c r="T7" s="1069" t="s">
        <v>552</v>
      </c>
      <c r="U7" s="139">
        <f>water_content</f>
        <v>0.3</v>
      </c>
      <c r="V7" s="732" t="s">
        <v>63</v>
      </c>
    </row>
    <row r="8" spans="1:22" ht="16.5" customHeight="1">
      <c r="A8" s="2165"/>
      <c r="B8" s="2168"/>
      <c r="C8" s="2170"/>
      <c r="D8" s="2172" t="s">
        <v>224</v>
      </c>
      <c r="E8" s="2195" t="s">
        <v>540</v>
      </c>
      <c r="F8" s="2195" t="s">
        <v>277</v>
      </c>
      <c r="G8" s="2195" t="s">
        <v>541</v>
      </c>
      <c r="H8" s="992"/>
      <c r="I8" s="992">
        <v>0</v>
      </c>
      <c r="J8" s="2193" t="s">
        <v>214</v>
      </c>
      <c r="K8" s="228" t="s">
        <v>222</v>
      </c>
      <c r="L8" s="228"/>
      <c r="M8" s="228"/>
      <c r="N8" s="228"/>
      <c r="O8" s="803"/>
      <c r="P8" s="803"/>
      <c r="Q8" s="803"/>
      <c r="R8" s="222"/>
      <c r="S8" s="655" t="s">
        <v>549</v>
      </c>
      <c r="T8" s="1069" t="s">
        <v>553</v>
      </c>
      <c r="U8" s="139">
        <f>air_orig</f>
        <v>0.13</v>
      </c>
      <c r="V8" s="732" t="s">
        <v>63</v>
      </c>
    </row>
    <row r="9" spans="1:22" ht="16.5" customHeight="1">
      <c r="A9" s="2165"/>
      <c r="B9" s="985" t="s">
        <v>386</v>
      </c>
      <c r="C9" s="2171"/>
      <c r="D9" s="2173"/>
      <c r="E9" s="2196"/>
      <c r="F9" s="2196"/>
      <c r="G9" s="2196"/>
      <c r="H9" s="992"/>
      <c r="I9" s="992"/>
      <c r="J9" s="2194"/>
      <c r="K9" s="228"/>
      <c r="L9" s="228"/>
      <c r="M9" s="228"/>
      <c r="N9" s="228"/>
      <c r="O9" s="803"/>
      <c r="P9" s="803"/>
      <c r="Q9" s="803"/>
      <c r="R9" s="222"/>
      <c r="S9" s="655" t="s">
        <v>545</v>
      </c>
      <c r="T9" s="1069" t="s">
        <v>554</v>
      </c>
      <c r="U9" s="139">
        <f>density</f>
        <v>1.5</v>
      </c>
      <c r="V9" s="1057" t="s">
        <v>475</v>
      </c>
    </row>
    <row r="10" spans="1:22" ht="16.5" customHeight="1" thickBot="1">
      <c r="A10" s="2166"/>
      <c r="B10" s="986" t="s">
        <v>13</v>
      </c>
      <c r="C10" s="987" t="s">
        <v>406</v>
      </c>
      <c r="D10" s="993" t="s">
        <v>13</v>
      </c>
      <c r="E10" s="994" t="s">
        <v>406</v>
      </c>
      <c r="F10" s="994" t="s">
        <v>63</v>
      </c>
      <c r="G10" s="994" t="s">
        <v>63</v>
      </c>
      <c r="H10" s="993"/>
      <c r="I10" s="993"/>
      <c r="J10" s="995"/>
      <c r="K10" s="226"/>
      <c r="L10" s="226"/>
      <c r="M10" s="226"/>
      <c r="N10" s="226"/>
      <c r="O10" s="811"/>
      <c r="P10" s="811"/>
      <c r="Q10" s="803"/>
      <c r="R10" s="222"/>
      <c r="S10" s="655" t="s">
        <v>546</v>
      </c>
      <c r="T10" s="1068" t="s">
        <v>555</v>
      </c>
      <c r="U10" s="139">
        <f>foc</f>
        <v>0.001</v>
      </c>
      <c r="V10" s="1057" t="s">
        <v>63</v>
      </c>
    </row>
    <row r="11" spans="1:22" ht="16.5" customHeight="1" thickBot="1" thickTop="1">
      <c r="A11" s="1018" t="s">
        <v>294</v>
      </c>
      <c r="B11" s="1019"/>
      <c r="C11" s="1020"/>
      <c r="D11" s="254"/>
      <c r="E11" s="1021"/>
      <c r="F11" s="1021"/>
      <c r="G11" s="1021"/>
      <c r="H11" s="254"/>
      <c r="I11" s="254"/>
      <c r="J11" s="1022"/>
      <c r="K11" s="222"/>
      <c r="L11" s="222"/>
      <c r="M11" s="222"/>
      <c r="N11" s="222"/>
      <c r="O11" s="230"/>
      <c r="P11" s="230"/>
      <c r="Q11" s="803"/>
      <c r="R11" s="222"/>
      <c r="S11" s="1025" t="s">
        <v>547</v>
      </c>
      <c r="T11" s="1070" t="s">
        <v>31</v>
      </c>
      <c r="U11" s="140">
        <f>DF</f>
        <v>20</v>
      </c>
      <c r="V11" s="1058" t="s">
        <v>63</v>
      </c>
    </row>
    <row r="12" spans="1:22" ht="16.5" customHeight="1" thickBot="1">
      <c r="A12" s="1597" t="s">
        <v>160</v>
      </c>
      <c r="B12" s="390">
        <f>MainForm!G13</f>
        <v>35</v>
      </c>
      <c r="C12" s="456"/>
      <c r="D12" s="996">
        <f>'Soil-to-GroundWater'!D16</f>
        <v>2070.6383482222177</v>
      </c>
      <c r="E12" s="997">
        <f>'Soil-to-GroundWater'!Z16</f>
        <v>163.70023912809302</v>
      </c>
      <c r="F12" s="997">
        <f>'Soil-to-GroundWater'!AE16</f>
        <v>0.012036782288830369</v>
      </c>
      <c r="G12" s="997"/>
      <c r="H12" s="996"/>
      <c r="I12" s="996"/>
      <c r="J12" s="1023"/>
      <c r="K12" s="1024"/>
      <c r="L12" s="1024"/>
      <c r="M12" s="1024"/>
      <c r="N12" s="1024"/>
      <c r="O12" s="650"/>
      <c r="P12" s="650"/>
      <c r="Q12" s="803"/>
      <c r="R12" s="222"/>
      <c r="S12" s="222"/>
      <c r="T12" s="592"/>
      <c r="U12" s="139"/>
      <c r="V12" s="1006"/>
    </row>
    <row r="13" spans="1:24" ht="16.5" customHeight="1">
      <c r="A13" s="1597" t="s">
        <v>161</v>
      </c>
      <c r="B13" s="390">
        <f>MainForm!G14</f>
        <v>20</v>
      </c>
      <c r="C13" s="456"/>
      <c r="D13" s="996">
        <f>'Soil-to-GroundWater'!D17</f>
        <v>1183.2219132698388</v>
      </c>
      <c r="E13" s="997">
        <f>'Soil-to-GroundWater'!Z17</f>
        <v>11.416876464072503</v>
      </c>
      <c r="F13" s="997">
        <f>'Soil-to-GroundWater'!AE17</f>
        <v>0.0008394762105935664</v>
      </c>
      <c r="G13" s="997"/>
      <c r="H13" s="996"/>
      <c r="I13" s="996"/>
      <c r="J13" s="1023"/>
      <c r="K13" s="1024"/>
      <c r="L13" s="1024"/>
      <c r="M13" s="1024"/>
      <c r="N13" s="1024"/>
      <c r="O13" s="650"/>
      <c r="P13" s="650"/>
      <c r="Q13" s="811"/>
      <c r="R13" s="222"/>
      <c r="S13" s="2141" t="s">
        <v>643</v>
      </c>
      <c r="T13" s="2142"/>
      <c r="U13" s="2142"/>
      <c r="V13" s="2186"/>
      <c r="W13" s="6"/>
      <c r="X13" s="100"/>
    </row>
    <row r="14" spans="1:23" ht="16.5" customHeight="1" thickBot="1">
      <c r="A14" s="1597" t="s">
        <v>157</v>
      </c>
      <c r="B14" s="390">
        <f>MainForm!G15</f>
        <v>40</v>
      </c>
      <c r="C14" s="456"/>
      <c r="D14" s="996">
        <f>'Soil-to-GroundWater'!D18</f>
        <v>2366.4438265396775</v>
      </c>
      <c r="E14" s="997">
        <f>'Soil-to-GroundWater'!Z18</f>
        <v>1.4002826129611745</v>
      </c>
      <c r="F14" s="997">
        <f>'Soil-to-GroundWater'!AE18</f>
        <v>0.005834510887338227</v>
      </c>
      <c r="G14" s="997"/>
      <c r="H14" s="996"/>
      <c r="I14" s="996"/>
      <c r="J14" s="1023"/>
      <c r="K14" s="1024"/>
      <c r="L14" s="1024"/>
      <c r="M14" s="1024"/>
      <c r="N14" s="1024"/>
      <c r="O14" s="650"/>
      <c r="P14" s="650"/>
      <c r="Q14" s="230"/>
      <c r="R14" s="222"/>
      <c r="S14" s="2187"/>
      <c r="T14" s="2188"/>
      <c r="U14" s="2188"/>
      <c r="V14" s="2189"/>
      <c r="W14" s="6"/>
    </row>
    <row r="15" spans="1:24" ht="16.5" customHeight="1" thickBot="1" thickTop="1">
      <c r="A15" s="1597" t="s">
        <v>158</v>
      </c>
      <c r="B15" s="390">
        <f>MainForm!G16</f>
        <v>57</v>
      </c>
      <c r="C15" s="456"/>
      <c r="D15" s="996">
        <f>'Soil-to-GroundWater'!D19</f>
        <v>3372.18245281904</v>
      </c>
      <c r="E15" s="997">
        <f>'Soil-to-GroundWater'!Z19</f>
        <v>0.1282258306700572</v>
      </c>
      <c r="F15" s="997">
        <f>'Soil-to-GroundWater'!AE19</f>
        <v>0.0005342742944585716</v>
      </c>
      <c r="G15" s="997"/>
      <c r="H15" s="996"/>
      <c r="I15" s="996"/>
      <c r="J15" s="1023"/>
      <c r="K15" s="1024"/>
      <c r="L15" s="1024"/>
      <c r="M15" s="1024"/>
      <c r="N15" s="1024"/>
      <c r="O15" s="650"/>
      <c r="P15" s="650"/>
      <c r="Q15" s="650"/>
      <c r="R15" s="222"/>
      <c r="S15" s="1025" t="s">
        <v>642</v>
      </c>
      <c r="T15" s="1814"/>
      <c r="U15" s="1814">
        <f>GW_target_CUL</f>
        <v>500</v>
      </c>
      <c r="V15" s="1026"/>
      <c r="W15" s="6"/>
      <c r="X15" s="6"/>
    </row>
    <row r="16" spans="1:25" ht="16.5" customHeight="1" thickBot="1">
      <c r="A16" s="1597" t="s">
        <v>159</v>
      </c>
      <c r="B16" s="390">
        <f>MainForm!G17</f>
        <v>125</v>
      </c>
      <c r="C16" s="456"/>
      <c r="D16" s="996">
        <f>'Soil-to-GroundWater'!D20</f>
        <v>7395.136957936493</v>
      </c>
      <c r="E16" s="997">
        <f>'Soil-to-GroundWater'!Z20</f>
        <v>0.005029029069842534</v>
      </c>
      <c r="F16" s="997">
        <f>'Soil-to-GroundWater'!AE20</f>
        <v>1.0477143895505278E-05</v>
      </c>
      <c r="G16" s="997"/>
      <c r="H16" s="996"/>
      <c r="I16" s="996"/>
      <c r="J16" s="1023"/>
      <c r="K16" s="1024"/>
      <c r="L16" s="1024"/>
      <c r="M16" s="1024"/>
      <c r="N16" s="1024"/>
      <c r="O16" s="650"/>
      <c r="P16" s="650"/>
      <c r="Q16" s="650"/>
      <c r="R16" s="222"/>
      <c r="S16" s="222"/>
      <c r="T16" s="1027"/>
      <c r="U16" s="139"/>
      <c r="V16" s="1006"/>
      <c r="W16" s="6"/>
      <c r="X16" s="6"/>
      <c r="Y16" s="100"/>
    </row>
    <row r="17" spans="1:23" ht="16.5" customHeight="1">
      <c r="A17" s="1597" t="s">
        <v>295</v>
      </c>
      <c r="B17" s="390">
        <f>MainForm!G18</f>
        <v>300</v>
      </c>
      <c r="C17" s="456"/>
      <c r="D17" s="996">
        <f>'Soil-to-GroundWater'!D21</f>
        <v>17748.328699047583</v>
      </c>
      <c r="E17" s="997">
        <f>'Soil-to-GroundWater'!Z21</f>
        <v>1.529156341835905E-05</v>
      </c>
      <c r="F17" s="997">
        <f>'Soil-to-GroundWater'!AE21</f>
        <v>4.778613568237203E-10</v>
      </c>
      <c r="G17" s="997"/>
      <c r="H17" s="996"/>
      <c r="I17" s="996"/>
      <c r="J17" s="1023"/>
      <c r="K17" s="1024"/>
      <c r="L17" s="1024"/>
      <c r="M17" s="1024"/>
      <c r="N17" s="1024"/>
      <c r="O17" s="650"/>
      <c r="P17" s="650"/>
      <c r="Q17" s="650"/>
      <c r="R17" s="222"/>
      <c r="S17" s="2141" t="s">
        <v>590</v>
      </c>
      <c r="T17" s="2142"/>
      <c r="U17" s="1002"/>
      <c r="V17" s="1034"/>
      <c r="W17" s="6"/>
    </row>
    <row r="18" spans="1:23" ht="16.5" customHeight="1">
      <c r="A18" s="1598" t="s">
        <v>296</v>
      </c>
      <c r="B18" s="1028">
        <f>MainForm!G19</f>
        <v>0</v>
      </c>
      <c r="C18" s="1029"/>
      <c r="D18" s="1030">
        <f>'Soil-to-GroundWater'!D22</f>
        <v>0</v>
      </c>
      <c r="E18" s="1031">
        <f>'Soil-to-GroundWater'!Z22</f>
        <v>0</v>
      </c>
      <c r="F18" s="1031">
        <f>'Soil-to-GroundWater'!AE22</f>
        <v>0</v>
      </c>
      <c r="G18" s="1031"/>
      <c r="H18" s="1032"/>
      <c r="I18" s="1032"/>
      <c r="J18" s="1033"/>
      <c r="K18" s="1024"/>
      <c r="L18" s="1024"/>
      <c r="M18" s="1024"/>
      <c r="N18" s="1024"/>
      <c r="O18" s="650"/>
      <c r="P18" s="650"/>
      <c r="Q18" s="650"/>
      <c r="R18" s="222"/>
      <c r="S18" s="2143" t="s">
        <v>591</v>
      </c>
      <c r="T18" s="2144"/>
      <c r="U18" s="139"/>
      <c r="V18" s="1016"/>
      <c r="W18" s="6"/>
    </row>
    <row r="19" spans="1:23" ht="16.5" customHeight="1" thickBot="1">
      <c r="A19" s="1597" t="s">
        <v>153</v>
      </c>
      <c r="B19" s="390">
        <f>MainForm!G20</f>
        <v>1</v>
      </c>
      <c r="C19" s="456"/>
      <c r="D19" s="996">
        <f>'Soil-to-GroundWater'!D23</f>
        <v>59.16109566349194</v>
      </c>
      <c r="E19" s="997">
        <f>'Soil-to-GroundWater'!Z23</f>
        <v>5.7150953075291655</v>
      </c>
      <c r="F19" s="997">
        <f>'Soil-to-GroundWater'!AE23</f>
        <v>0.007143869134411457</v>
      </c>
      <c r="G19" s="997"/>
      <c r="H19" s="996"/>
      <c r="I19" s="996"/>
      <c r="J19" s="1035"/>
      <c r="K19" s="1036"/>
      <c r="L19" s="1036"/>
      <c r="M19" s="1036"/>
      <c r="N19" s="650"/>
      <c r="O19" s="650"/>
      <c r="P19" s="650"/>
      <c r="Q19" s="650"/>
      <c r="R19" s="222"/>
      <c r="S19" s="1527"/>
      <c r="T19" s="1528"/>
      <c r="U19" s="1005"/>
      <c r="V19" s="1037"/>
      <c r="W19" s="6"/>
    </row>
    <row r="20" spans="1:22" ht="16.5" customHeight="1" thickTop="1">
      <c r="A20" s="1597" t="s">
        <v>154</v>
      </c>
      <c r="B20" s="390">
        <f>MainForm!G21</f>
        <v>24</v>
      </c>
      <c r="C20" s="456"/>
      <c r="D20" s="996">
        <f>'Soil-to-GroundWater'!D24</f>
        <v>1419.8662959238065</v>
      </c>
      <c r="E20" s="997">
        <f>'Soil-to-GroundWater'!Z24</f>
        <v>48.77726044224441</v>
      </c>
      <c r="F20" s="997">
        <f>'Soil-to-GroundWater'!AE24</f>
        <v>0.3048578777640276</v>
      </c>
      <c r="G20" s="997"/>
      <c r="H20" s="996"/>
      <c r="I20" s="996"/>
      <c r="J20" s="1035"/>
      <c r="K20" s="1036"/>
      <c r="L20" s="1036"/>
      <c r="M20" s="1036"/>
      <c r="N20" s="650"/>
      <c r="O20" s="650"/>
      <c r="P20" s="650"/>
      <c r="Q20" s="650"/>
      <c r="R20" s="222"/>
      <c r="S20" s="745" t="s">
        <v>580</v>
      </c>
      <c r="T20" s="2149"/>
      <c r="U20" s="2149"/>
      <c r="V20" s="2150"/>
    </row>
    <row r="21" spans="1:22" ht="16.5" customHeight="1">
      <c r="A21" s="1597" t="s">
        <v>155</v>
      </c>
      <c r="B21" s="390">
        <f>MainForm!G22</f>
        <v>55</v>
      </c>
      <c r="C21" s="456"/>
      <c r="D21" s="996">
        <f>'Soil-to-GroundWater'!D25</f>
        <v>3253.8602614920565</v>
      </c>
      <c r="E21" s="997">
        <f>'Soil-to-GroundWater'!Z25</f>
        <v>22.50135228445493</v>
      </c>
      <c r="F21" s="997">
        <f>'Soil-to-GroundWater'!AE25</f>
        <v>0.028126690355568664</v>
      </c>
      <c r="G21" s="997"/>
      <c r="H21" s="996"/>
      <c r="I21" s="996"/>
      <c r="J21" s="1035"/>
      <c r="K21" s="1036"/>
      <c r="L21" s="1036"/>
      <c r="M21" s="1036"/>
      <c r="N21" s="650"/>
      <c r="O21" s="650"/>
      <c r="P21" s="650"/>
      <c r="Q21" s="650"/>
      <c r="R21" s="222"/>
      <c r="S21" s="746" t="s">
        <v>494</v>
      </c>
      <c r="T21" s="2151"/>
      <c r="U21" s="2151"/>
      <c r="V21" s="2152"/>
    </row>
    <row r="22" spans="1:22" ht="16.5" customHeight="1">
      <c r="A22" s="1597" t="s">
        <v>156</v>
      </c>
      <c r="B22" s="390">
        <f>MainForm!G23</f>
        <v>145</v>
      </c>
      <c r="C22" s="456"/>
      <c r="D22" s="996">
        <f>'Soil-to-GroundWater'!D26</f>
        <v>8578.35887120633</v>
      </c>
      <c r="E22" s="997">
        <f>'Soil-to-GroundWater'!Z26</f>
        <v>4.1204091135944365</v>
      </c>
      <c r="F22" s="997">
        <f>'Soil-to-GroundWater'!AE26</f>
        <v>0.008584185653321743</v>
      </c>
      <c r="G22" s="997"/>
      <c r="H22" s="996"/>
      <c r="I22" s="996"/>
      <c r="J22" s="1035"/>
      <c r="K22" s="1036"/>
      <c r="L22" s="1036"/>
      <c r="M22" s="1036"/>
      <c r="N22" s="650"/>
      <c r="O22" s="650"/>
      <c r="P22" s="650"/>
      <c r="Q22" s="650"/>
      <c r="R22" s="222"/>
      <c r="S22" s="655"/>
      <c r="T22" s="594" t="s">
        <v>658</v>
      </c>
      <c r="U22" s="2176"/>
      <c r="V22" s="2177"/>
    </row>
    <row r="23" spans="1:23" ht="16.5" customHeight="1" thickBot="1">
      <c r="A23" s="1599" t="s">
        <v>307</v>
      </c>
      <c r="B23" s="457">
        <f>MainForm!G24</f>
        <v>0</v>
      </c>
      <c r="C23" s="458"/>
      <c r="D23" s="999">
        <f>'Soil-to-GroundWater'!D27</f>
        <v>0</v>
      </c>
      <c r="E23" s="1000">
        <f>'Soil-to-GroundWater'!Z27</f>
        <v>0</v>
      </c>
      <c r="F23" s="1000">
        <f>'Soil-to-GroundWater'!AE27</f>
        <v>0</v>
      </c>
      <c r="G23" s="1000"/>
      <c r="H23" s="999"/>
      <c r="I23" s="999"/>
      <c r="J23" s="1038"/>
      <c r="K23" s="1036"/>
      <c r="L23" s="1036"/>
      <c r="M23" s="1036"/>
      <c r="N23" s="650"/>
      <c r="O23" s="650"/>
      <c r="P23" s="650"/>
      <c r="Q23" s="650"/>
      <c r="R23" s="222" t="s">
        <v>93</v>
      </c>
      <c r="S23" s="655"/>
      <c r="T23" s="594" t="s">
        <v>659</v>
      </c>
      <c r="U23" s="1864"/>
      <c r="V23" s="1865"/>
      <c r="W23" s="99"/>
    </row>
    <row r="24" spans="1:23" ht="16.5" customHeight="1">
      <c r="A24" s="1597" t="s">
        <v>18</v>
      </c>
      <c r="B24" s="390">
        <f>MainForm!G25</f>
        <v>0.03</v>
      </c>
      <c r="C24" s="456">
        <v>5</v>
      </c>
      <c r="D24" s="996">
        <f>'Soil-to-GroundWater'!D28</f>
        <v>1.7748328699047582</v>
      </c>
      <c r="E24" s="997">
        <f>'Soil-to-GroundWater'!Z28</f>
        <v>6.968987763900485</v>
      </c>
      <c r="F24" s="997">
        <f>'Soil-to-GroundWater'!AE28</f>
        <v>0.21778086762189017</v>
      </c>
      <c r="G24" s="997">
        <f>'Soil-to-GroundWater'!BV28</f>
        <v>8.761013188903467E-06</v>
      </c>
      <c r="H24" s="996"/>
      <c r="I24" s="996"/>
      <c r="J24" s="998" t="str">
        <f>IF(K24=1,"Fail","")</f>
        <v>Fail</v>
      </c>
      <c r="K24" s="1039">
        <f>IF(E24&lt;(C24+0.001),0,1)</f>
        <v>1</v>
      </c>
      <c r="L24" s="1036"/>
      <c r="M24" s="1036"/>
      <c r="N24" s="650"/>
      <c r="O24" s="650"/>
      <c r="P24" s="650"/>
      <c r="Q24" s="650"/>
      <c r="R24" s="222"/>
      <c r="S24" s="964"/>
      <c r="T24" s="594" t="s">
        <v>550</v>
      </c>
      <c r="U24" s="1864"/>
      <c r="V24" s="1865"/>
      <c r="W24" s="6"/>
    </row>
    <row r="25" spans="1:23" ht="16.5" customHeight="1" thickBot="1">
      <c r="A25" s="1597" t="s">
        <v>19</v>
      </c>
      <c r="B25" s="390">
        <f>MainForm!G26</f>
        <v>5</v>
      </c>
      <c r="C25" s="456">
        <v>1000</v>
      </c>
      <c r="D25" s="996">
        <f>'Soil-to-GroundWater'!D29</f>
        <v>295.8054783174597</v>
      </c>
      <c r="E25" s="997">
        <f>'Soil-to-GroundWater'!Z29</f>
        <v>300.44917043425784</v>
      </c>
      <c r="F25" s="997">
        <f>'Soil-to-GroundWater'!AE29</f>
        <v>0.46945182880352787</v>
      </c>
      <c r="G25" s="997"/>
      <c r="H25" s="996"/>
      <c r="I25" s="996"/>
      <c r="J25" s="998">
        <f aca="true" t="shared" si="0" ref="J25:J34">IF(K25=1,"Fail","")</f>
      </c>
      <c r="K25" s="1039">
        <f>IF(E25&lt;(C25+0.001),0,1)</f>
        <v>0</v>
      </c>
      <c r="L25" s="1036"/>
      <c r="M25" s="1036"/>
      <c r="N25" s="650"/>
      <c r="O25" s="650"/>
      <c r="P25" s="650"/>
      <c r="Q25" s="650"/>
      <c r="R25" s="222"/>
      <c r="S25" s="965"/>
      <c r="T25" s="1004" t="s">
        <v>551</v>
      </c>
      <c r="U25" s="2174"/>
      <c r="V25" s="2175"/>
      <c r="W25" s="6"/>
    </row>
    <row r="26" spans="1:23" ht="16.5" customHeight="1" thickBot="1">
      <c r="A26" s="1597" t="s">
        <v>113</v>
      </c>
      <c r="B26" s="390">
        <f>MainForm!G27</f>
        <v>7</v>
      </c>
      <c r="C26" s="456">
        <v>700</v>
      </c>
      <c r="D26" s="996">
        <f>'Soil-to-GroundWater'!D30</f>
        <v>414.12766964444353</v>
      </c>
      <c r="E26" s="997">
        <f>'Soil-to-GroundWater'!Z30</f>
        <v>117.8778061152868</v>
      </c>
      <c r="F26" s="997">
        <f>'Soil-to-GroundWater'!AE30</f>
        <v>0.1473472576441085</v>
      </c>
      <c r="G26" s="997"/>
      <c r="H26" s="996"/>
      <c r="I26" s="996"/>
      <c r="J26" s="998">
        <f t="shared" si="0"/>
      </c>
      <c r="K26" s="1039">
        <f>IF(E26&lt;(C26+0.001),0,1)</f>
        <v>0</v>
      </c>
      <c r="L26" s="1036"/>
      <c r="M26" s="1036"/>
      <c r="N26" s="650"/>
      <c r="O26" s="650"/>
      <c r="P26" s="650"/>
      <c r="Q26" s="650"/>
      <c r="R26" s="222"/>
      <c r="S26" s="222"/>
      <c r="T26" s="222"/>
      <c r="U26" s="222"/>
      <c r="V26" s="222"/>
      <c r="W26" s="6"/>
    </row>
    <row r="27" spans="1:23" ht="16.5" customHeight="1" thickBot="1">
      <c r="A27" s="1599" t="s">
        <v>170</v>
      </c>
      <c r="B27" s="457">
        <f>MainForm!G28</f>
        <v>13</v>
      </c>
      <c r="C27" s="458">
        <v>1000</v>
      </c>
      <c r="D27" s="999">
        <f>'Soil-to-GroundWater'!D31</f>
        <v>769.0942436253952</v>
      </c>
      <c r="E27" s="1000">
        <f>'Soil-to-GroundWater'!Z31</f>
        <v>221.46807050388477</v>
      </c>
      <c r="F27" s="1000">
        <f>'Soil-to-GroundWater'!AE31</f>
        <v>0.13841754406492798</v>
      </c>
      <c r="G27" s="1000"/>
      <c r="H27" s="999"/>
      <c r="I27" s="999"/>
      <c r="J27" s="1001">
        <f t="shared" si="0"/>
      </c>
      <c r="K27" s="1039">
        <f>IF(E27&lt;(C27+0.001),0,1)</f>
        <v>0</v>
      </c>
      <c r="L27" s="1036"/>
      <c r="M27" s="1036"/>
      <c r="N27" s="650"/>
      <c r="O27" s="650"/>
      <c r="P27" s="650"/>
      <c r="Q27" s="650"/>
      <c r="R27" s="650"/>
      <c r="S27" s="2183" t="s">
        <v>543</v>
      </c>
      <c r="T27" s="2184"/>
      <c r="U27" s="2184"/>
      <c r="V27" s="2185"/>
      <c r="W27" s="6"/>
    </row>
    <row r="28" spans="1:22" ht="16.5" customHeight="1" thickTop="1">
      <c r="A28" s="1597" t="str">
        <f>MainForm!B29</f>
        <v>Naphthalene</v>
      </c>
      <c r="B28" s="390">
        <f>MainForm!G29</f>
        <v>15</v>
      </c>
      <c r="C28" s="456">
        <v>160</v>
      </c>
      <c r="D28" s="996">
        <f>'Soil-to-GroundWater'!D32</f>
        <v>887.4164349523792</v>
      </c>
      <c r="E28" s="997">
        <f>'Soil-to-GroundWater'!Z32</f>
        <v>38.41859529787053</v>
      </c>
      <c r="F28" s="997">
        <f>'Soil-to-GroundWater'!AE32</f>
        <v>0.24011622061169083</v>
      </c>
      <c r="G28" s="997"/>
      <c r="H28" s="996"/>
      <c r="I28" s="996"/>
      <c r="J28" s="998">
        <f>IF(K28=1,"Fail","")</f>
      </c>
      <c r="K28" s="1039">
        <f>IF(E28&lt;(C28+0.001),0,1)</f>
        <v>0</v>
      </c>
      <c r="L28" s="1036"/>
      <c r="M28" s="1036"/>
      <c r="N28" s="650"/>
      <c r="O28" s="650"/>
      <c r="P28" s="650"/>
      <c r="Q28" s="650"/>
      <c r="R28" s="222"/>
      <c r="S28" s="1003" t="s">
        <v>138</v>
      </c>
      <c r="T28" s="2157"/>
      <c r="U28" s="2157"/>
      <c r="V28" s="2158"/>
    </row>
    <row r="29" spans="1:22" ht="16.5" customHeight="1">
      <c r="A29" s="1597" t="str">
        <f>MainForm!B30</f>
        <v>1-Methyl Naphthalene</v>
      </c>
      <c r="B29" s="390">
        <f>MainForm!G30</f>
        <v>0</v>
      </c>
      <c r="C29" s="456"/>
      <c r="D29" s="996">
        <f>'Soil-to-GroundWater'!D33</f>
        <v>0</v>
      </c>
      <c r="E29" s="997">
        <f>'Soil-to-GroundWater'!Z33</f>
        <v>0</v>
      </c>
      <c r="F29" s="997">
        <f>'Soil-to-GroundWater'!AE33</f>
        <v>0</v>
      </c>
      <c r="G29" s="997"/>
      <c r="H29" s="996"/>
      <c r="I29" s="996"/>
      <c r="J29" s="998"/>
      <c r="K29" s="1039"/>
      <c r="L29" s="1036"/>
      <c r="M29" s="1036"/>
      <c r="N29" s="650"/>
      <c r="O29" s="650"/>
      <c r="P29" s="650"/>
      <c r="Q29" s="650"/>
      <c r="R29" s="222"/>
      <c r="S29" s="1071" t="s">
        <v>127</v>
      </c>
      <c r="T29" s="2159"/>
      <c r="U29" s="2159"/>
      <c r="V29" s="2160"/>
    </row>
    <row r="30" spans="1:22" ht="16.5" customHeight="1">
      <c r="A30" s="1597" t="str">
        <f>MainForm!B31</f>
        <v>2-Methyl Naphthalene</v>
      </c>
      <c r="B30" s="390">
        <f>MainForm!G31</f>
        <v>0</v>
      </c>
      <c r="C30" s="456"/>
      <c r="D30" s="996">
        <f>'Soil-to-GroundWater'!D34</f>
        <v>0</v>
      </c>
      <c r="E30" s="997">
        <f>'Soil-to-GroundWater'!Z34</f>
        <v>0</v>
      </c>
      <c r="F30" s="997">
        <f>'Soil-to-GroundWater'!AE34</f>
        <v>0</v>
      </c>
      <c r="G30" s="997"/>
      <c r="H30" s="996"/>
      <c r="I30" s="996"/>
      <c r="J30" s="998"/>
      <c r="K30" s="1039"/>
      <c r="L30" s="1036"/>
      <c r="M30" s="1036"/>
      <c r="N30" s="650"/>
      <c r="O30" s="650"/>
      <c r="P30" s="650"/>
      <c r="Q30" s="650"/>
      <c r="R30" s="222"/>
      <c r="S30" s="1003" t="s">
        <v>556</v>
      </c>
      <c r="T30" s="222"/>
      <c r="U30" s="2153"/>
      <c r="V30" s="2154"/>
    </row>
    <row r="31" spans="1:22" ht="16.5" customHeight="1">
      <c r="A31" s="1597" t="str">
        <f>MainForm!B32</f>
        <v>n-Hexane</v>
      </c>
      <c r="B31" s="390">
        <f>MainForm!G32</f>
        <v>0</v>
      </c>
      <c r="C31" s="456"/>
      <c r="D31" s="996">
        <f>'Soil-to-GroundWater'!D35</f>
        <v>0</v>
      </c>
      <c r="E31" s="997">
        <f>'Soil-to-GroundWater'!Z35</f>
        <v>0</v>
      </c>
      <c r="F31" s="997">
        <f>'Soil-to-GroundWater'!AE35</f>
        <v>0</v>
      </c>
      <c r="G31" s="997"/>
      <c r="H31" s="996"/>
      <c r="I31" s="996"/>
      <c r="J31" s="998"/>
      <c r="K31" s="1039"/>
      <c r="L31" s="1036"/>
      <c r="M31" s="1036"/>
      <c r="N31" s="650"/>
      <c r="O31" s="650"/>
      <c r="P31" s="650"/>
      <c r="Q31" s="650"/>
      <c r="R31" s="650"/>
      <c r="S31" s="1003" t="s">
        <v>557</v>
      </c>
      <c r="T31" s="222"/>
      <c r="U31" s="2155"/>
      <c r="V31" s="2156"/>
    </row>
    <row r="32" spans="1:22" ht="16.5" customHeight="1">
      <c r="A32" s="1597" t="str">
        <f>MainForm!B33</f>
        <v>MTBE</v>
      </c>
      <c r="B32" s="390">
        <f>MainForm!G33</f>
        <v>0</v>
      </c>
      <c r="C32" s="456">
        <v>20</v>
      </c>
      <c r="D32" s="996">
        <f>'Soil-to-GroundWater'!D36</f>
        <v>0</v>
      </c>
      <c r="E32" s="997">
        <f>'Soil-to-GroundWater'!Z36</f>
        <v>0</v>
      </c>
      <c r="F32" s="997">
        <f>'Soil-to-GroundWater'!AE36</f>
        <v>0</v>
      </c>
      <c r="G32" s="997"/>
      <c r="H32" s="996"/>
      <c r="I32" s="996"/>
      <c r="J32" s="998">
        <f t="shared" si="0"/>
      </c>
      <c r="K32" s="1039">
        <f>IF(E32&lt;(C32+0.001),0,1)</f>
        <v>0</v>
      </c>
      <c r="L32" s="1036"/>
      <c r="M32" s="1036"/>
      <c r="N32" s="650"/>
      <c r="O32" s="650"/>
      <c r="P32" s="650"/>
      <c r="Q32" s="650"/>
      <c r="R32" s="222"/>
      <c r="S32" s="1003" t="s">
        <v>558</v>
      </c>
      <c r="T32" s="222"/>
      <c r="U32" s="2145"/>
      <c r="V32" s="2146"/>
    </row>
    <row r="33" spans="1:22" ht="16.5" customHeight="1">
      <c r="A33" s="1597" t="str">
        <f>MainForm!B34</f>
        <v>Ethylene Dibromide (EDB)</v>
      </c>
      <c r="B33" s="390">
        <f>MainForm!G34</f>
        <v>0</v>
      </c>
      <c r="C33" s="456">
        <v>0.01</v>
      </c>
      <c r="D33" s="996">
        <f>'Soil-to-GroundWater'!D37</f>
        <v>0</v>
      </c>
      <c r="E33" s="997">
        <f>'Soil-to-GroundWater'!Z37</f>
        <v>0</v>
      </c>
      <c r="F33" s="997">
        <f>'Soil-to-GroundWater'!AE37</f>
        <v>0</v>
      </c>
      <c r="G33" s="997">
        <f>'Soil-to-GroundWater'!BV37</f>
        <v>0</v>
      </c>
      <c r="H33" s="996"/>
      <c r="I33" s="996"/>
      <c r="J33" s="998">
        <f t="shared" si="0"/>
      </c>
      <c r="K33" s="1039">
        <f>IF(E33&lt;(C33+0.001),0,1)</f>
        <v>0</v>
      </c>
      <c r="L33" s="1036"/>
      <c r="M33" s="1036"/>
      <c r="N33" s="650"/>
      <c r="O33" s="650"/>
      <c r="P33" s="650"/>
      <c r="Q33" s="650"/>
      <c r="R33" s="222"/>
      <c r="S33" s="1003" t="s">
        <v>592</v>
      </c>
      <c r="T33" s="222"/>
      <c r="U33" s="2147"/>
      <c r="V33" s="2148"/>
    </row>
    <row r="34" spans="1:22" ht="16.5" customHeight="1" thickBot="1">
      <c r="A34" s="1599" t="str">
        <f>MainForm!B35</f>
        <v>1,2 Dichloroethane (EDC)</v>
      </c>
      <c r="B34" s="457">
        <f>MainForm!G35</f>
        <v>0</v>
      </c>
      <c r="C34" s="458">
        <v>5</v>
      </c>
      <c r="D34" s="999">
        <f>'Soil-to-GroundWater'!D38</f>
        <v>0</v>
      </c>
      <c r="E34" s="1000">
        <f>'Soil-to-GroundWater'!Z38</f>
        <v>0</v>
      </c>
      <c r="F34" s="1000">
        <f>'Soil-to-GroundWater'!AE38</f>
        <v>0</v>
      </c>
      <c r="G34" s="1000">
        <f>'Soil-to-GroundWater'!BV38</f>
        <v>0</v>
      </c>
      <c r="H34" s="999"/>
      <c r="I34" s="999"/>
      <c r="J34" s="1001">
        <f t="shared" si="0"/>
      </c>
      <c r="K34" s="1039">
        <f>IF(E34&lt;(C34+0.001),0,1)</f>
        <v>0</v>
      </c>
      <c r="L34" s="1036"/>
      <c r="M34" s="1036"/>
      <c r="N34" s="650"/>
      <c r="O34" s="650"/>
      <c r="P34" s="650"/>
      <c r="Q34" s="650"/>
      <c r="R34" s="222"/>
      <c r="S34" s="1003" t="s">
        <v>593</v>
      </c>
      <c r="T34" s="222"/>
      <c r="U34" s="2178"/>
      <c r="V34" s="2179"/>
    </row>
    <row r="35" spans="1:22" ht="16.5" customHeight="1">
      <c r="A35" s="1597" t="str">
        <f>MainForm!B36</f>
        <v>Benzo(a)anthracene</v>
      </c>
      <c r="B35" s="390">
        <f>MainForm!G36</f>
        <v>0</v>
      </c>
      <c r="C35" s="456" t="s">
        <v>359</v>
      </c>
      <c r="D35" s="996">
        <f>'Soil-to-GroundWater'!D39</f>
        <v>0</v>
      </c>
      <c r="E35" s="997">
        <f>'Soil-to-GroundWater'!Z39</f>
        <v>0</v>
      </c>
      <c r="F35" s="997"/>
      <c r="G35" s="997">
        <f>'Soil-to-GroundWater'!BV39</f>
        <v>0</v>
      </c>
      <c r="H35" s="996"/>
      <c r="I35" s="996"/>
      <c r="J35" s="998" t="s">
        <v>359</v>
      </c>
      <c r="K35" s="1039"/>
      <c r="L35" s="1036"/>
      <c r="M35" s="1036"/>
      <c r="N35" s="650"/>
      <c r="O35" s="650"/>
      <c r="P35" s="650"/>
      <c r="Q35" s="650"/>
      <c r="R35" s="222"/>
      <c r="S35" s="1071" t="s">
        <v>560</v>
      </c>
      <c r="T35" s="756"/>
      <c r="U35" s="2180"/>
      <c r="V35" s="2181"/>
    </row>
    <row r="36" spans="1:22" ht="16.5" customHeight="1">
      <c r="A36" s="1597" t="str">
        <f>MainForm!B37</f>
        <v>Benzo(b)fluoranthene</v>
      </c>
      <c r="B36" s="390">
        <f>MainForm!G37</f>
        <v>0</v>
      </c>
      <c r="C36" s="456" t="s">
        <v>361</v>
      </c>
      <c r="D36" s="996">
        <f>'Soil-to-GroundWater'!D40</f>
        <v>0</v>
      </c>
      <c r="E36" s="997">
        <f>'Soil-to-GroundWater'!Z40</f>
        <v>0</v>
      </c>
      <c r="F36" s="997"/>
      <c r="G36" s="997">
        <f>'Soil-to-GroundWater'!BV40</f>
        <v>0</v>
      </c>
      <c r="H36" s="996"/>
      <c r="I36" s="996"/>
      <c r="J36" s="998" t="s">
        <v>361</v>
      </c>
      <c r="K36" s="1040"/>
      <c r="L36" s="1036"/>
      <c r="M36" s="1036"/>
      <c r="N36" s="650"/>
      <c r="O36" s="650"/>
      <c r="P36" s="650"/>
      <c r="Q36" s="650"/>
      <c r="R36" s="222"/>
      <c r="S36" s="1003" t="s">
        <v>276</v>
      </c>
      <c r="T36" s="1042"/>
      <c r="U36" s="222"/>
      <c r="V36" s="673"/>
    </row>
    <row r="37" spans="1:22" ht="16.5" customHeight="1">
      <c r="A37" s="1597" t="str">
        <f>MainForm!B38</f>
        <v>Benzo(k)fluoranthene</v>
      </c>
      <c r="B37" s="390">
        <f>MainForm!G38</f>
        <v>1</v>
      </c>
      <c r="C37" s="456" t="s">
        <v>360</v>
      </c>
      <c r="D37" s="996">
        <f>'Soil-to-GroundWater'!D41</f>
        <v>59.16109566349194</v>
      </c>
      <c r="E37" s="997">
        <f>'Soil-to-GroundWater'!Z41</f>
        <v>3.357292630348835E-05</v>
      </c>
      <c r="F37" s="997"/>
      <c r="G37" s="997">
        <f>'Soil-to-GroundWater'!BV41</f>
        <v>2.800941280176742E-10</v>
      </c>
      <c r="H37" s="996"/>
      <c r="I37" s="996"/>
      <c r="J37" s="998" t="s">
        <v>360</v>
      </c>
      <c r="K37" s="1040"/>
      <c r="L37" s="1036"/>
      <c r="M37" s="1036"/>
      <c r="N37" s="650"/>
      <c r="O37" s="650"/>
      <c r="P37" s="650"/>
      <c r="Q37" s="650"/>
      <c r="R37" s="222"/>
      <c r="S37" s="1043" t="s">
        <v>40</v>
      </c>
      <c r="T37" s="1044"/>
      <c r="U37" s="1045" t="s">
        <v>42</v>
      </c>
      <c r="V37" s="1046"/>
    </row>
    <row r="38" spans="1:22" ht="16.5" customHeight="1">
      <c r="A38" s="1597" t="str">
        <f>MainForm!B39</f>
        <v>Benzo(a)pyrene</v>
      </c>
      <c r="B38" s="390">
        <f>MainForm!G39</f>
        <v>0.07</v>
      </c>
      <c r="C38" s="456" t="s">
        <v>470</v>
      </c>
      <c r="D38" s="996">
        <f>'Soil-to-GroundWater'!D42</f>
        <v>4.141276696444436</v>
      </c>
      <c r="E38" s="997">
        <f>'Soil-to-GroundWater'!Z42</f>
        <v>4.7589227681028144E-06</v>
      </c>
      <c r="F38" s="997"/>
      <c r="G38" s="997">
        <f>'Soil-to-GroundWater'!BV42</f>
        <v>3.9703012808172053E-10</v>
      </c>
      <c r="H38" s="996"/>
      <c r="I38" s="996"/>
      <c r="J38" s="998"/>
      <c r="K38" s="1040"/>
      <c r="L38" s="1036"/>
      <c r="M38" s="1036"/>
      <c r="N38" s="650"/>
      <c r="O38" s="650"/>
      <c r="P38" s="650"/>
      <c r="Q38" s="650"/>
      <c r="R38" s="222"/>
      <c r="S38" s="1072" t="s">
        <v>41</v>
      </c>
      <c r="T38" s="1073"/>
      <c r="U38" s="1074" t="s">
        <v>43</v>
      </c>
      <c r="V38" s="1075"/>
    </row>
    <row r="39" spans="1:22" ht="16.5" customHeight="1">
      <c r="A39" s="1597" t="str">
        <f>MainForm!B40</f>
        <v>Chrysene</v>
      </c>
      <c r="B39" s="390">
        <f>MainForm!G40</f>
        <v>1</v>
      </c>
      <c r="C39" s="1041">
        <v>1E-05</v>
      </c>
      <c r="D39" s="996">
        <f>'Soil-to-GroundWater'!D43</f>
        <v>59.16109566349194</v>
      </c>
      <c r="E39" s="997">
        <f>'Soil-to-GroundWater'!Z43</f>
        <v>7.42048441686319E-05</v>
      </c>
      <c r="F39" s="997"/>
      <c r="G39" s="997">
        <f>'Soil-to-GroundWater'!BV43</f>
        <v>6.190804142068718E-11</v>
      </c>
      <c r="H39" s="996"/>
      <c r="I39" s="996"/>
      <c r="J39" s="998">
        <f>IF(K39=1,"Fail","")</f>
      </c>
      <c r="K39" s="1040">
        <f>IF(SUM(G35:G41)&gt;0.00001001,1,0)</f>
        <v>0</v>
      </c>
      <c r="L39" s="1036"/>
      <c r="M39" s="1036"/>
      <c r="N39" s="650"/>
      <c r="O39" s="650"/>
      <c r="P39" s="650"/>
      <c r="Q39" s="650"/>
      <c r="R39" s="222"/>
      <c r="S39" s="1076">
        <f>IF('Soil-to-GroundWater'!Q51&lt;0,"NAPL is supersaturated, Computation is not Correct!","")</f>
      </c>
      <c r="T39" s="1077"/>
      <c r="U39" s="1077"/>
      <c r="V39" s="1078"/>
    </row>
    <row r="40" spans="1:22" ht="16.5" customHeight="1" thickBot="1">
      <c r="A40" s="1597" t="str">
        <f>MainForm!B41</f>
        <v>Dibenz(a,h)anthracene</v>
      </c>
      <c r="B40" s="390">
        <f>MainForm!G41</f>
        <v>0.05</v>
      </c>
      <c r="C40" s="456"/>
      <c r="D40" s="996">
        <f>'Soil-to-GroundWater'!D44</f>
        <v>2.9580547831745974</v>
      </c>
      <c r="E40" s="997">
        <f>'Soil-to-GroundWater'!Z44</f>
        <v>4.74157000582129E-06</v>
      </c>
      <c r="F40" s="997"/>
      <c r="G40" s="997">
        <f>'Soil-to-GroundWater'!BV44</f>
        <v>3.955824119142333E-11</v>
      </c>
      <c r="H40" s="996"/>
      <c r="I40" s="996"/>
      <c r="J40" s="1831" t="s">
        <v>649</v>
      </c>
      <c r="K40" s="1040"/>
      <c r="L40" s="1036"/>
      <c r="M40" s="1036"/>
      <c r="N40" s="650"/>
      <c r="O40" s="650"/>
      <c r="P40" s="650"/>
      <c r="Q40" s="650"/>
      <c r="R40" s="222"/>
      <c r="S40" s="2161" t="str">
        <f>IF(OR(B42&gt;1000,gw_result_tph&gt;1000),"Please Check Soil Residual Saturation TPH Levels: Refer to Table 747-5!"," ")</f>
        <v> </v>
      </c>
      <c r="T40" s="2162"/>
      <c r="U40" s="2162"/>
      <c r="V40" s="2163"/>
    </row>
    <row r="41" spans="1:22" ht="16.5" customHeight="1" thickBot="1">
      <c r="A41" s="1599" t="str">
        <f>MainForm!B42</f>
        <v>Indeno(1,2,3-cd)pyrene</v>
      </c>
      <c r="B41" s="457">
        <f>MainForm!G42</f>
        <v>1</v>
      </c>
      <c r="C41" s="458"/>
      <c r="D41" s="999">
        <f>'Soil-to-GroundWater'!D45</f>
        <v>59.16109566349194</v>
      </c>
      <c r="E41" s="1000">
        <f>'Soil-to-GroundWater'!Z45</f>
        <v>8.430704956141621E-07</v>
      </c>
      <c r="F41" s="1000"/>
      <c r="G41" s="1000">
        <f>'Soil-to-GroundWater'!BV45</f>
        <v>7.033616706266723E-12</v>
      </c>
      <c r="H41" s="999"/>
      <c r="I41" s="999"/>
      <c r="J41" s="1001">
        <f>SUM(G35:G41)</f>
        <v>7.856241554177718E-10</v>
      </c>
      <c r="K41" s="1040"/>
      <c r="L41" s="106"/>
      <c r="M41" s="106"/>
      <c r="N41" s="106"/>
      <c r="O41" s="106"/>
      <c r="P41" s="106"/>
      <c r="Q41" s="135"/>
      <c r="R41" s="11"/>
      <c r="S41" s="11"/>
      <c r="T41" s="1552"/>
      <c r="U41" s="1553"/>
      <c r="V41" s="1554"/>
    </row>
    <row r="42" spans="1:22" ht="13.5" thickBot="1">
      <c r="A42" s="1047" t="s">
        <v>20</v>
      </c>
      <c r="B42" s="1196">
        <f>SUM(B12:B41)</f>
        <v>845.15</v>
      </c>
      <c r="C42" s="1048"/>
      <c r="D42" s="1049">
        <f>SUM(D12:D41)</f>
        <v>50000.00000000019</v>
      </c>
      <c r="E42" s="1050">
        <f>SUM(E12:E41)</f>
        <v>942.9475337407872</v>
      </c>
      <c r="F42" s="1050">
        <f>'Soil-to-GroundWater'!AE46</f>
        <v>1.5810818629564527</v>
      </c>
      <c r="G42" s="1050">
        <f>'Soil-to-GroundWater'!BV46</f>
        <v>8.761798813058884E-06</v>
      </c>
      <c r="H42" s="1049"/>
      <c r="I42" s="1049"/>
      <c r="J42" s="1051" t="str">
        <f>PF_overall</f>
        <v>Fail</v>
      </c>
      <c r="K42" s="1052"/>
      <c r="L42" s="988"/>
      <c r="O42" s="8"/>
      <c r="Q42" s="135"/>
      <c r="R42" s="11"/>
      <c r="S42" s="11"/>
      <c r="T42" s="1552"/>
      <c r="U42" s="1553"/>
      <c r="V42" s="1554"/>
    </row>
    <row r="43" spans="6:22" ht="12.75" hidden="1">
      <c r="F43" s="990"/>
      <c r="G43" s="991"/>
      <c r="H43" s="991"/>
      <c r="I43" s="991"/>
      <c r="J43" s="991"/>
      <c r="K43" s="988"/>
      <c r="L43" s="988"/>
      <c r="O43" s="8"/>
      <c r="Q43" s="135"/>
      <c r="T43" s="130"/>
      <c r="U43" s="129"/>
      <c r="V43" s="82"/>
    </row>
    <row r="44" spans="8:22" ht="13.5" hidden="1">
      <c r="H44" s="149"/>
      <c r="I44" s="149"/>
      <c r="J44" s="149"/>
      <c r="K44" s="149"/>
      <c r="L44" s="988"/>
      <c r="O44" s="8"/>
      <c r="Q44" s="106"/>
      <c r="T44" s="130"/>
      <c r="U44" s="129"/>
      <c r="V44" s="82"/>
    </row>
    <row r="45" spans="6:22" ht="13.5" hidden="1">
      <c r="F45" s="148"/>
      <c r="G45" s="149"/>
      <c r="H45" s="149"/>
      <c r="I45" s="149"/>
      <c r="J45" s="149"/>
      <c r="K45" s="149"/>
      <c r="L45" s="988"/>
      <c r="O45" s="8"/>
      <c r="R45" s="134"/>
      <c r="T45" s="130"/>
      <c r="U45" s="129"/>
      <c r="V45" s="82"/>
    </row>
    <row r="46" spans="6:22" ht="13.5" hidden="1">
      <c r="F46" s="148"/>
      <c r="G46" s="149"/>
      <c r="H46" s="149"/>
      <c r="I46" s="149"/>
      <c r="J46" s="149"/>
      <c r="K46" s="149"/>
      <c r="L46" s="988"/>
      <c r="O46" s="8"/>
      <c r="R46" s="134"/>
      <c r="T46" s="130"/>
      <c r="U46" s="129"/>
      <c r="V46" s="82"/>
    </row>
    <row r="47" spans="6:21" ht="13.5" hidden="1">
      <c r="F47" s="148"/>
      <c r="G47" s="149"/>
      <c r="H47" s="149"/>
      <c r="I47" s="149"/>
      <c r="J47" s="149"/>
      <c r="K47" s="149"/>
      <c r="L47" s="988"/>
      <c r="O47" s="8"/>
      <c r="R47" s="134"/>
      <c r="S47" s="130"/>
      <c r="T47" s="129"/>
      <c r="U47" s="82"/>
    </row>
    <row r="48" spans="6:21" ht="13.5" hidden="1">
      <c r="F48" s="148"/>
      <c r="G48" s="149"/>
      <c r="H48" s="149"/>
      <c r="I48" s="149"/>
      <c r="J48" s="149"/>
      <c r="K48" s="149"/>
      <c r="L48" s="988"/>
      <c r="O48" s="8"/>
      <c r="R48" s="134"/>
      <c r="S48" s="130"/>
      <c r="T48" s="129"/>
      <c r="U48" s="82"/>
    </row>
    <row r="49" spans="1:21" ht="15.75" hidden="1">
      <c r="A49" s="144"/>
      <c r="B49" s="145"/>
      <c r="C49" s="146"/>
      <c r="D49" s="147"/>
      <c r="E49" s="148"/>
      <c r="F49" s="149"/>
      <c r="G49" s="149"/>
      <c r="H49" s="149"/>
      <c r="I49" s="149"/>
      <c r="J49" s="149"/>
      <c r="K49" s="988"/>
      <c r="R49" s="134"/>
      <c r="S49" s="130"/>
      <c r="T49" s="129"/>
      <c r="U49" s="82"/>
    </row>
    <row r="50" spans="1:21" ht="15.75" hidden="1">
      <c r="A50" s="144"/>
      <c r="B50" s="145"/>
      <c r="C50" s="146"/>
      <c r="D50" s="147"/>
      <c r="E50" s="148"/>
      <c r="F50" s="149"/>
      <c r="G50" s="149"/>
      <c r="H50" s="149"/>
      <c r="I50" s="149"/>
      <c r="J50" s="149"/>
      <c r="K50" s="988"/>
      <c r="R50" s="134"/>
      <c r="S50" s="130"/>
      <c r="T50" s="129"/>
      <c r="U50" s="82"/>
    </row>
    <row r="51" spans="1:18" ht="15.75" hidden="1">
      <c r="A51" s="144"/>
      <c r="B51" s="145"/>
      <c r="C51" s="146"/>
      <c r="D51" s="147"/>
      <c r="E51" s="148"/>
      <c r="F51" s="149"/>
      <c r="G51" s="149"/>
      <c r="H51" s="149"/>
      <c r="I51" s="149"/>
      <c r="J51" s="149"/>
      <c r="K51" s="988"/>
      <c r="R51" s="134"/>
    </row>
    <row r="52" spans="1:11" ht="15.75" hidden="1">
      <c r="A52" s="144"/>
      <c r="B52" s="145"/>
      <c r="C52" s="146"/>
      <c r="D52" s="147"/>
      <c r="E52" s="148"/>
      <c r="F52" s="149"/>
      <c r="G52" s="149"/>
      <c r="H52" s="149"/>
      <c r="I52" s="149"/>
      <c r="J52" s="149"/>
      <c r="K52" s="988"/>
    </row>
    <row r="53" spans="1:11" ht="15.75" hidden="1">
      <c r="A53" s="144"/>
      <c r="B53" s="145"/>
      <c r="C53" s="146"/>
      <c r="D53" s="147"/>
      <c r="E53" s="148"/>
      <c r="F53" s="149"/>
      <c r="G53" s="149"/>
      <c r="H53" s="149"/>
      <c r="I53" s="149"/>
      <c r="J53" s="149"/>
      <c r="K53" s="988"/>
    </row>
    <row r="54" spans="1:11" ht="15.75" hidden="1">
      <c r="A54" s="144"/>
      <c r="B54" s="145"/>
      <c r="C54" s="146"/>
      <c r="D54" s="147"/>
      <c r="E54" s="148"/>
      <c r="F54" s="149"/>
      <c r="G54" s="149"/>
      <c r="H54" s="149"/>
      <c r="I54" s="149"/>
      <c r="J54" s="149"/>
      <c r="K54" s="988"/>
    </row>
    <row r="55" spans="1:20" ht="15.75" hidden="1">
      <c r="A55" s="144"/>
      <c r="B55" s="145"/>
      <c r="C55" s="146"/>
      <c r="D55" s="147"/>
      <c r="E55" s="148"/>
      <c r="F55" s="149"/>
      <c r="G55" s="149"/>
      <c r="H55" s="149"/>
      <c r="I55" s="149"/>
      <c r="J55" s="149"/>
      <c r="K55" s="988"/>
      <c r="N55" s="134"/>
      <c r="S55" s="402" t="s">
        <v>151</v>
      </c>
      <c r="T55" s="403">
        <f>IF(ini&gt;200000,"Infinite",ini)</f>
        <v>50000.00000000021</v>
      </c>
    </row>
    <row r="56" spans="1:20" ht="15.75" hidden="1">
      <c r="A56" s="144"/>
      <c r="B56" s="145"/>
      <c r="C56" s="146"/>
      <c r="D56" s="147"/>
      <c r="E56" s="148"/>
      <c r="F56" s="149"/>
      <c r="G56" s="149"/>
      <c r="H56" s="149"/>
      <c r="I56" s="149"/>
      <c r="J56" s="149"/>
      <c r="K56" s="988"/>
      <c r="S56" s="404" t="s">
        <v>214</v>
      </c>
      <c r="T56" s="405" t="str">
        <f>IF(ISTEXT(U22),"Undefined",K61)</f>
        <v>Fail</v>
      </c>
    </row>
    <row r="57" spans="1:20" ht="13.5" hidden="1">
      <c r="A57" s="150" t="s">
        <v>454</v>
      </c>
      <c r="B57" s="396">
        <f>SUM(B24,B33:B34,B35:B41)</f>
        <v>3.15</v>
      </c>
      <c r="F57" s="151"/>
      <c r="G57" s="150" t="s">
        <v>270</v>
      </c>
      <c r="J57" s="152"/>
      <c r="K57" s="989">
        <f>IF(G42&gt;0.00001001,1,0)</f>
        <v>0</v>
      </c>
      <c r="S57" s="404" t="s">
        <v>345</v>
      </c>
      <c r="T57" s="405">
        <f>IF(ISTEXT(U22),"Undefined",E42)</f>
        <v>942.9475337407872</v>
      </c>
    </row>
    <row r="58" spans="7:20" ht="13.5" hidden="1">
      <c r="G58" s="150" t="s">
        <v>271</v>
      </c>
      <c r="J58" s="152"/>
      <c r="K58" s="989">
        <f>IF(F42&gt;1.001,1,0)</f>
        <v>1</v>
      </c>
      <c r="S58" s="404" t="s">
        <v>272</v>
      </c>
      <c r="T58" s="405">
        <f>IF(ISTEXT(U22),"Undefined",G42)</f>
        <v>8.761798813058884E-06</v>
      </c>
    </row>
    <row r="59" spans="7:20" ht="12.75" hidden="1">
      <c r="G59" s="150" t="s">
        <v>22</v>
      </c>
      <c r="K59" s="135">
        <f>SUM(K12:K58)</f>
        <v>2</v>
      </c>
      <c r="S59" s="406" t="s">
        <v>225</v>
      </c>
      <c r="T59" s="407">
        <f>IF(ISTEXT(U22),"Undefined",F42)</f>
        <v>1.5810818629564527</v>
      </c>
    </row>
    <row r="60" ht="12.75" hidden="1">
      <c r="K60" s="6"/>
    </row>
    <row r="61" spans="7:11" ht="12.75" hidden="1">
      <c r="G61" s="150" t="s">
        <v>273</v>
      </c>
      <c r="K61" s="135" t="str">
        <f>IF(K59&gt;0,"Fail","Pass")</f>
        <v>Fail</v>
      </c>
    </row>
    <row r="62" spans="7:11" ht="12.75" hidden="1">
      <c r="G62" s="150" t="s">
        <v>506</v>
      </c>
      <c r="K62" s="8" t="str">
        <f>IF(PF_overall="Fail","NO","YES")</f>
        <v>NO</v>
      </c>
    </row>
    <row r="63" spans="19:22" ht="12.75" hidden="1">
      <c r="S63" s="402" t="s">
        <v>147</v>
      </c>
      <c r="T63" s="520">
        <f>'Soil-to-GroundWater'!M46/1000</f>
        <v>178.75631162615875</v>
      </c>
      <c r="U63" s="520"/>
      <c r="V63" s="1059"/>
    </row>
    <row r="64" spans="19:22" ht="12.75" hidden="1">
      <c r="S64" s="404" t="s">
        <v>148</v>
      </c>
      <c r="T64" s="8">
        <f>IF(gw_result_tph="NA","NA",IF(inival&gt;0,'Soil-to-GroundWater'!N46/1000,"N/A"))</f>
        <v>178.85600359308347</v>
      </c>
      <c r="V64" s="27"/>
    </row>
    <row r="65" spans="19:22" ht="12.75" hidden="1">
      <c r="S65" s="404" t="s">
        <v>346</v>
      </c>
      <c r="T65" s="313">
        <f>'Soil-to-GroundWater'!N55/1000000</f>
        <v>0.8362678073699716</v>
      </c>
      <c r="V65" s="27"/>
    </row>
    <row r="66" spans="19:22" ht="13.5" hidden="1">
      <c r="S66" s="404" t="s">
        <v>343</v>
      </c>
      <c r="T66" s="8">
        <f>IF(gw_result_tph="NA","NA",IF(inival&gt;0,IF('Soil-to-GroundWater'!Q49&lt;0,"NAPL is supersaturated!",'Soil-to-GroundWater'!O49),"NAPL phase is not existing!"))</f>
        <v>0.08962124297027908</v>
      </c>
      <c r="V66" s="27"/>
    </row>
    <row r="67" spans="19:22" ht="13.5" hidden="1">
      <c r="S67" s="404" t="s">
        <v>344</v>
      </c>
      <c r="T67" s="8">
        <f>IF(gw_result_tph="NA","NA",IF('Soil-to-GroundWater'!O50=0,"N/A",'Soil-to-GroundWater'!O50))</f>
        <v>0.2084214952797188</v>
      </c>
      <c r="V67" s="27"/>
    </row>
    <row r="68" spans="19:22" ht="13.5" hidden="1" thickBot="1">
      <c r="S68" s="1060" t="s">
        <v>457</v>
      </c>
      <c r="T68" s="983">
        <f>'Soil-to-GroundWater'!N58</f>
        <v>72476.54330539754</v>
      </c>
      <c r="U68" s="52"/>
      <c r="V68" s="1061"/>
    </row>
    <row r="69" spans="19:22" ht="12.75" hidden="1">
      <c r="S69" s="404" t="s">
        <v>138</v>
      </c>
      <c r="T69" s="8" t="str">
        <f>IF(gw_result_tph="NA","NA",IF(AND(inival&gt;0,park&lt;0.005),"4-Phase Model","3-Phase Model"))</f>
        <v>4-Phase Model</v>
      </c>
      <c r="V69" s="27"/>
    </row>
    <row r="70" spans="19:22" ht="13.5" hidden="1" thickBot="1">
      <c r="S70" s="1060" t="s">
        <v>127</v>
      </c>
      <c r="T70" s="52" t="str">
        <f>IF(gw_result_tph="NA","NA",'Soil-to-GroundWater'!AP52)</f>
        <v>Yes!</v>
      </c>
      <c r="U70" s="52"/>
      <c r="V70" s="1061"/>
    </row>
    <row r="71" spans="19:22" ht="12.75" hidden="1">
      <c r="S71" s="404" t="s">
        <v>276</v>
      </c>
      <c r="V71" s="27"/>
    </row>
    <row r="72" spans="19:22" ht="12.75" hidden="1">
      <c r="S72" s="1062" t="s">
        <v>40</v>
      </c>
      <c r="T72" s="984">
        <f>'Soil-to-GroundWater'!U51</f>
        <v>7.543580269926268E-05</v>
      </c>
      <c r="U72" s="126" t="s">
        <v>42</v>
      </c>
      <c r="V72" s="1063">
        <f>'Soil-to-GroundWater'!W51</f>
        <v>0.00035718420770698955</v>
      </c>
    </row>
    <row r="73" spans="19:22" ht="12.75" hidden="1">
      <c r="S73" s="1064" t="s">
        <v>41</v>
      </c>
      <c r="T73" s="1065">
        <f>'Soil-to-GroundWater'!V51</f>
        <v>6.781268282045439E-05</v>
      </c>
      <c r="U73" s="1066" t="s">
        <v>43</v>
      </c>
      <c r="V73" s="1067">
        <f>IF(inival&gt;0,1-T37-V37-T38,"NONE")</f>
        <v>1</v>
      </c>
    </row>
    <row r="74" ht="12.75" hidden="1"/>
    <row r="75" ht="12.75" hidden="1"/>
    <row r="76" ht="12.75" hidden="1"/>
  </sheetData>
  <sheetProtection/>
  <mergeCells count="30">
    <mergeCell ref="B3:J3"/>
    <mergeCell ref="S4:V4"/>
    <mergeCell ref="S13:V14"/>
    <mergeCell ref="S27:V27"/>
    <mergeCell ref="U23:V23"/>
    <mergeCell ref="D7:J7"/>
    <mergeCell ref="J8:J9"/>
    <mergeCell ref="E8:E9"/>
    <mergeCell ref="F8:F9"/>
    <mergeCell ref="G8:G9"/>
    <mergeCell ref="S40:V40"/>
    <mergeCell ref="A7:A10"/>
    <mergeCell ref="B7:B8"/>
    <mergeCell ref="C7:C9"/>
    <mergeCell ref="D8:D9"/>
    <mergeCell ref="U24:V24"/>
    <mergeCell ref="U25:V25"/>
    <mergeCell ref="U22:V22"/>
    <mergeCell ref="U34:V34"/>
    <mergeCell ref="U35:V35"/>
    <mergeCell ref="S17:T17"/>
    <mergeCell ref="S18:T18"/>
    <mergeCell ref="U32:V32"/>
    <mergeCell ref="U33:V33"/>
    <mergeCell ref="T20:V20"/>
    <mergeCell ref="T21:V21"/>
    <mergeCell ref="U30:V30"/>
    <mergeCell ref="U31:V31"/>
    <mergeCell ref="T28:V28"/>
    <mergeCell ref="T29:V29"/>
  </mergeCells>
  <conditionalFormatting sqref="T21:V21">
    <cfRule type="cellIs" priority="1" dxfId="0" operator="equal" stopIfTrue="1">
      <formula>"NO"</formula>
    </cfRule>
    <cfRule type="cellIs" priority="2" dxfId="0" operator="equal" stopIfTrue="1">
      <formula>"Fail"</formula>
    </cfRule>
  </conditionalFormatting>
  <conditionalFormatting sqref="J24:J42">
    <cfRule type="cellIs" priority="3" dxfId="1" operator="equal" stopIfTrue="1">
      <formula>"Fail"</formula>
    </cfRule>
  </conditionalFormatting>
  <printOptions horizontalCentered="1"/>
  <pageMargins left="0.17" right="0.36" top="0.28" bottom="0.39" header="0.33" footer="0.17"/>
  <pageSetup blackAndWhite="1" horizontalDpi="300" verticalDpi="300" orientation="landscape" scale="80" r:id="rId4"/>
  <headerFooter alignWithMargins="0">
    <oddHeader>&amp;CWashington State Department of Ecology, Toxics Cleanup Program: Soil Cleanup Level for TPH Sites - Protection of Potable Ground Water</oddHeader>
    <oddFooter>&amp;R&amp;D:  &amp;F</oddFooter>
  </headerFooter>
  <drawing r:id="rId3"/>
  <legacyDrawing r:id="rId2"/>
</worksheet>
</file>

<file path=xl/worksheets/sheet23.xml><?xml version="1.0" encoding="utf-8"?>
<worksheet xmlns="http://schemas.openxmlformats.org/spreadsheetml/2006/main" xmlns:r="http://schemas.openxmlformats.org/officeDocument/2006/relationships">
  <sheetPr codeName="Sheet1"/>
  <dimension ref="A1:CK60"/>
  <sheetViews>
    <sheetView zoomScale="50" zoomScaleNormal="50" zoomScalePageLayoutView="0" workbookViewId="0" topLeftCell="A9">
      <pane xSplit="1" topLeftCell="BL1" activePane="topRight" state="frozen"/>
      <selection pane="topLeft" activeCell="A15" sqref="A15"/>
      <selection pane="topRight" activeCell="BN51" sqref="BN51"/>
    </sheetView>
  </sheetViews>
  <sheetFormatPr defaultColWidth="9.140625" defaultRowHeight="12.75"/>
  <cols>
    <col min="1" max="1" width="23.28125" style="35" customWidth="1"/>
    <col min="2" max="2" width="18.7109375" style="35" customWidth="1"/>
    <col min="3" max="3" width="13.00390625" style="35" customWidth="1"/>
    <col min="4" max="4" width="29.57421875" style="35" customWidth="1"/>
    <col min="5" max="5" width="13.00390625" style="35" customWidth="1"/>
    <col min="6" max="6" width="17.8515625" style="35" customWidth="1"/>
    <col min="7" max="7" width="12.421875" style="35" customWidth="1"/>
    <col min="8" max="8" width="18.8515625" style="35" customWidth="1"/>
    <col min="9" max="9" width="23.57421875" style="35" customWidth="1"/>
    <col min="10" max="10" width="16.00390625" style="35" customWidth="1"/>
    <col min="11" max="11" width="18.00390625" style="35" customWidth="1"/>
    <col min="12" max="12" width="19.421875" style="35" customWidth="1"/>
    <col min="13" max="13" width="16.7109375" style="35" customWidth="1"/>
    <col min="14" max="14" width="14.8515625" style="35" customWidth="1"/>
    <col min="15" max="15" width="22.00390625" style="35" customWidth="1"/>
    <col min="16" max="16" width="13.00390625" style="35" customWidth="1"/>
    <col min="17" max="17" width="32.7109375" style="35" customWidth="1"/>
    <col min="18" max="18" width="13.00390625" style="35" customWidth="1"/>
    <col min="19" max="19" width="13.28125" style="35" customWidth="1"/>
    <col min="20" max="20" width="22.140625" style="35" customWidth="1"/>
    <col min="21" max="21" width="20.57421875" style="35" customWidth="1"/>
    <col min="22" max="22" width="17.7109375" style="35" customWidth="1"/>
    <col min="23" max="23" width="15.28125" style="35" customWidth="1"/>
    <col min="24" max="24" width="14.8515625" style="35" customWidth="1"/>
    <col min="25" max="25" width="18.28125" style="35" customWidth="1"/>
    <col min="26" max="26" width="14.57421875" style="35" customWidth="1"/>
    <col min="27" max="27" width="16.140625" style="35" customWidth="1"/>
    <col min="28" max="28" width="22.421875" style="35" customWidth="1"/>
    <col min="29" max="29" width="18.00390625" style="35" customWidth="1"/>
    <col min="30" max="30" width="13.57421875" style="35" customWidth="1"/>
    <col min="31" max="31" width="13.28125" style="35" customWidth="1"/>
    <col min="32" max="32" width="13.00390625" style="35" customWidth="1"/>
    <col min="33" max="33" width="12.00390625" style="35" customWidth="1"/>
    <col min="34" max="34" width="13.140625" style="35" customWidth="1"/>
    <col min="35" max="35" width="9.8515625" style="35" bestFit="1" customWidth="1"/>
    <col min="36" max="36" width="10.7109375" style="35" customWidth="1"/>
    <col min="37" max="37" width="9.421875" style="35" bestFit="1" customWidth="1"/>
    <col min="38" max="38" width="8.8515625" style="35" customWidth="1"/>
    <col min="39" max="39" width="11.00390625" style="35" customWidth="1"/>
    <col min="40" max="40" width="10.57421875" style="35" customWidth="1"/>
    <col min="41" max="41" width="10.00390625" style="35" bestFit="1" customWidth="1"/>
    <col min="42" max="42" width="14.57421875" style="35" customWidth="1"/>
    <col min="43" max="43" width="12.421875" style="35" customWidth="1"/>
    <col min="44" max="44" width="16.28125" style="35" customWidth="1"/>
    <col min="45" max="45" width="15.28125" style="35" customWidth="1"/>
    <col min="46" max="46" width="9.57421875" style="35" bestFit="1" customWidth="1"/>
    <col min="47" max="47" width="3.28125" style="35" customWidth="1"/>
    <col min="48" max="48" width="2.00390625" style="35" customWidth="1"/>
    <col min="49" max="49" width="24.7109375" style="35" customWidth="1"/>
    <col min="50" max="50" width="12.8515625" style="35" customWidth="1"/>
    <col min="51" max="51" width="11.28125" style="35" customWidth="1"/>
    <col min="52" max="52" width="14.421875" style="35" customWidth="1"/>
    <col min="53" max="53" width="15.28125" style="35" customWidth="1"/>
    <col min="54" max="54" width="14.421875" style="35" customWidth="1"/>
    <col min="55" max="55" width="16.28125" style="35" customWidth="1"/>
    <col min="56" max="56" width="13.28125" style="35" customWidth="1"/>
    <col min="57" max="57" width="12.57421875" style="35" customWidth="1"/>
    <col min="58" max="58" width="10.7109375" style="35" customWidth="1"/>
    <col min="59" max="59" width="12.00390625" style="35" customWidth="1"/>
    <col min="60" max="61" width="14.421875" style="35" customWidth="1"/>
    <col min="62" max="62" width="14.00390625" style="33" customWidth="1"/>
    <col min="63" max="63" width="10.8515625" style="33" customWidth="1"/>
    <col min="64" max="64" width="9.57421875" style="33" customWidth="1"/>
    <col min="65" max="65" width="13.28125" style="35" customWidth="1"/>
    <col min="66" max="66" width="8.421875" style="35" customWidth="1"/>
    <col min="67" max="67" width="9.140625" style="35" customWidth="1"/>
    <col min="68" max="68" width="6.8515625" style="35" customWidth="1"/>
    <col min="69" max="69" width="2.7109375" style="35" customWidth="1"/>
    <col min="70" max="70" width="16.421875" style="35" customWidth="1"/>
    <col min="71" max="71" width="18.421875" style="35" customWidth="1"/>
    <col min="72" max="72" width="14.57421875" style="35" customWidth="1"/>
    <col min="73" max="73" width="16.140625" style="35" customWidth="1"/>
    <col min="74" max="74" width="12.7109375" style="35" customWidth="1"/>
    <col min="75" max="75" width="17.28125" style="35" customWidth="1"/>
    <col min="76" max="77" width="8.8515625" style="35" customWidth="1"/>
    <col min="78" max="78" width="13.140625" style="35" customWidth="1"/>
    <col min="79" max="79" width="13.28125" style="35" customWidth="1"/>
    <col min="80" max="80" width="15.28125" style="35" customWidth="1"/>
    <col min="81" max="81" width="13.00390625" style="35" customWidth="1"/>
    <col min="82" max="82" width="13.28125" style="35" customWidth="1"/>
    <col min="83" max="83" width="15.7109375" style="35" customWidth="1"/>
    <col min="84" max="84" width="18.140625" style="35" customWidth="1"/>
    <col min="85" max="87" width="8.8515625" style="35" customWidth="1"/>
    <col min="88" max="88" width="26.28125" style="35" customWidth="1"/>
    <col min="89" max="89" width="9.00390625" style="35" bestFit="1" customWidth="1"/>
    <col min="90" max="16384" width="8.8515625" style="35" customWidth="1"/>
  </cols>
  <sheetData>
    <row r="1" spans="1:23" ht="18" customHeight="1">
      <c r="A1" s="1197" t="s">
        <v>65</v>
      </c>
      <c r="B1" s="26"/>
      <c r="C1" s="26"/>
      <c r="D1" s="1198"/>
      <c r="E1" s="26"/>
      <c r="F1" s="26"/>
      <c r="G1" s="26"/>
      <c r="H1" s="26"/>
      <c r="I1" s="26"/>
      <c r="J1" s="1199"/>
      <c r="K1" s="1199"/>
      <c r="L1" s="1199"/>
      <c r="M1" s="1199"/>
      <c r="N1" s="1199"/>
      <c r="O1" s="1199"/>
      <c r="P1" s="26"/>
      <c r="Q1" s="26"/>
      <c r="R1" s="26"/>
      <c r="S1" s="26"/>
      <c r="T1" s="26"/>
      <c r="U1" s="26"/>
      <c r="V1" s="26"/>
      <c r="W1" s="26"/>
    </row>
    <row r="2" spans="1:23" ht="13.5" thickBot="1">
      <c r="A2" s="332"/>
      <c r="B2" s="26"/>
      <c r="C2" s="26"/>
      <c r="D2" s="1500" t="s">
        <v>2</v>
      </c>
      <c r="E2" s="1501" t="s">
        <v>3</v>
      </c>
      <c r="F2" s="1502" t="s">
        <v>4</v>
      </c>
      <c r="G2" s="26"/>
      <c r="H2" s="26"/>
      <c r="I2" s="26"/>
      <c r="J2" s="26"/>
      <c r="K2" s="26"/>
      <c r="L2" s="26"/>
      <c r="M2" s="26"/>
      <c r="N2" s="26"/>
      <c r="O2" s="26"/>
      <c r="P2" s="26"/>
      <c r="Q2" s="26"/>
      <c r="R2" s="26"/>
      <c r="S2" s="26"/>
      <c r="T2" s="26"/>
      <c r="U2" s="26"/>
      <c r="V2" s="26"/>
      <c r="W2" s="26"/>
    </row>
    <row r="3" spans="1:23" ht="14.25" thickBot="1" thickTop="1">
      <c r="A3" s="332" t="s">
        <v>66</v>
      </c>
      <c r="B3" s="26"/>
      <c r="C3" s="26"/>
      <c r="D3" s="1269" t="s">
        <v>5</v>
      </c>
      <c r="E3" s="361" t="s">
        <v>6</v>
      </c>
      <c r="F3" s="1503">
        <f>density</f>
        <v>1.5</v>
      </c>
      <c r="G3" s="26"/>
      <c r="H3" s="26"/>
      <c r="I3" s="332"/>
      <c r="J3" s="26"/>
      <c r="K3" s="26"/>
      <c r="L3" s="26"/>
      <c r="M3" s="26"/>
      <c r="N3" s="26"/>
      <c r="O3" s="26"/>
      <c r="P3" s="26"/>
      <c r="Q3" s="26"/>
      <c r="R3" s="26"/>
      <c r="S3" s="26"/>
      <c r="T3" s="26"/>
      <c r="U3" s="26"/>
      <c r="V3" s="26"/>
      <c r="W3" s="26"/>
    </row>
    <row r="4" spans="1:55" ht="13.5" thickBot="1">
      <c r="A4" s="26"/>
      <c r="B4" s="26"/>
      <c r="C4" s="26"/>
      <c r="D4" s="1269" t="s">
        <v>0</v>
      </c>
      <c r="E4" s="361" t="s">
        <v>61</v>
      </c>
      <c r="F4" s="1503">
        <f>porosity</f>
        <v>0.43</v>
      </c>
      <c r="G4" s="26"/>
      <c r="H4" s="26"/>
      <c r="I4" s="1200"/>
      <c r="J4" s="1200"/>
      <c r="K4" s="1200"/>
      <c r="L4" s="1200"/>
      <c r="M4" s="1200"/>
      <c r="N4" s="1200"/>
      <c r="O4" s="1200"/>
      <c r="P4" s="1200"/>
      <c r="Q4" s="1200"/>
      <c r="R4" s="26"/>
      <c r="S4" s="26"/>
      <c r="T4" s="26"/>
      <c r="U4" s="26"/>
      <c r="V4" s="26"/>
      <c r="W4" s="26"/>
      <c r="AA4" s="1201" t="s">
        <v>255</v>
      </c>
      <c r="AB4" s="1202"/>
      <c r="AC4" s="1203"/>
      <c r="AX4" s="1204" t="s">
        <v>336</v>
      </c>
      <c r="AY4" s="1205"/>
      <c r="AZ4" s="1205"/>
      <c r="BA4" s="1205"/>
      <c r="BB4" s="1205"/>
      <c r="BC4" s="1206"/>
    </row>
    <row r="5" spans="1:55" ht="14.25" thickBot="1" thickTop="1">
      <c r="A5" s="26"/>
      <c r="B5" s="26"/>
      <c r="C5" s="26"/>
      <c r="D5" s="1269" t="s">
        <v>7</v>
      </c>
      <c r="E5" s="361" t="s">
        <v>61</v>
      </c>
      <c r="F5" s="1503">
        <f>water_content</f>
        <v>0.3</v>
      </c>
      <c r="G5" s="26"/>
      <c r="H5" s="1200"/>
      <c r="I5" s="1207"/>
      <c r="J5" s="1207"/>
      <c r="K5" s="1207"/>
      <c r="L5" s="1207"/>
      <c r="M5" s="1207"/>
      <c r="N5" s="1207"/>
      <c r="O5" s="1207"/>
      <c r="P5" s="1207"/>
      <c r="Q5" s="1207"/>
      <c r="R5" s="26"/>
      <c r="S5" s="26"/>
      <c r="T5" s="26"/>
      <c r="U5" s="26"/>
      <c r="V5" s="26"/>
      <c r="W5" s="26"/>
      <c r="AA5" s="28" t="s">
        <v>52</v>
      </c>
      <c r="AB5" s="361">
        <v>16</v>
      </c>
      <c r="AC5" s="36" t="s">
        <v>53</v>
      </c>
      <c r="AX5" s="1204" t="s">
        <v>236</v>
      </c>
      <c r="AY5" s="1205">
        <f>1/VAF</f>
        <v>1000</v>
      </c>
      <c r="AZ5" s="1205"/>
      <c r="BA5" s="1205"/>
      <c r="BB5" s="1205"/>
      <c r="BC5" s="1206"/>
    </row>
    <row r="6" spans="1:55" ht="13.5" thickBot="1">
      <c r="A6" s="26"/>
      <c r="B6" s="26" t="s">
        <v>162</v>
      </c>
      <c r="C6" s="1208">
        <f>air_orig</f>
        <v>0.13</v>
      </c>
      <c r="D6" s="1269" t="s">
        <v>118</v>
      </c>
      <c r="E6" s="361" t="s">
        <v>61</v>
      </c>
      <c r="F6" s="1504">
        <v>0.13</v>
      </c>
      <c r="G6" s="26"/>
      <c r="H6" s="26"/>
      <c r="I6" s="1209"/>
      <c r="J6" s="1207"/>
      <c r="K6" s="1207"/>
      <c r="L6" s="1207"/>
      <c r="M6" s="1207"/>
      <c r="N6" s="1207"/>
      <c r="O6" s="1207"/>
      <c r="P6" s="1200"/>
      <c r="Q6" s="1200"/>
      <c r="R6" s="26"/>
      <c r="S6" s="26"/>
      <c r="T6" s="26"/>
      <c r="U6" s="26"/>
      <c r="V6" s="26"/>
      <c r="W6" s="26"/>
      <c r="AA6" s="28" t="s">
        <v>54</v>
      </c>
      <c r="AB6" s="361">
        <v>1000</v>
      </c>
      <c r="AC6" s="36" t="s">
        <v>55</v>
      </c>
      <c r="AX6" s="1204" t="s">
        <v>237</v>
      </c>
      <c r="AY6" s="1210"/>
      <c r="AZ6" s="1205"/>
      <c r="BA6" s="1205" t="s">
        <v>238</v>
      </c>
      <c r="BB6" s="1205" t="s">
        <v>182</v>
      </c>
      <c r="BC6" s="1206">
        <v>70</v>
      </c>
    </row>
    <row r="7" spans="1:89" ht="52.5" customHeight="1">
      <c r="A7" s="26"/>
      <c r="B7" s="26"/>
      <c r="C7" s="26"/>
      <c r="D7" s="1269" t="s">
        <v>24</v>
      </c>
      <c r="E7" s="361" t="s">
        <v>61</v>
      </c>
      <c r="F7" s="1503">
        <f>MainForm!G50</f>
        <v>0.001</v>
      </c>
      <c r="G7" s="1499" t="s">
        <v>117</v>
      </c>
      <c r="H7" s="1211">
        <f>F4-F5-F6-O49</f>
        <v>-0.08962124297027908</v>
      </c>
      <c r="I7" s="1207"/>
      <c r="J7" s="1207"/>
      <c r="K7" s="1207"/>
      <c r="L7" s="1207"/>
      <c r="M7" s="1207"/>
      <c r="N7" s="1207"/>
      <c r="O7" s="1207"/>
      <c r="P7" s="1200"/>
      <c r="Q7" s="1200"/>
      <c r="R7" s="26"/>
      <c r="S7" s="26"/>
      <c r="T7" s="26"/>
      <c r="U7" s="26"/>
      <c r="V7" s="26"/>
      <c r="W7" s="26"/>
      <c r="AA7" s="28" t="s">
        <v>56</v>
      </c>
      <c r="AB7" s="361">
        <v>1</v>
      </c>
      <c r="AC7" s="36" t="s">
        <v>57</v>
      </c>
      <c r="AX7" s="28" t="s">
        <v>182</v>
      </c>
      <c r="AY7" s="26">
        <v>16</v>
      </c>
      <c r="AZ7" s="26"/>
      <c r="BA7" s="26"/>
      <c r="BB7" s="26" t="s">
        <v>235</v>
      </c>
      <c r="BC7" s="36">
        <v>75</v>
      </c>
      <c r="CK7" s="1086"/>
    </row>
    <row r="8" spans="1:81" ht="65.25" customHeight="1" thickBot="1">
      <c r="A8" s="1212"/>
      <c r="B8" s="26"/>
      <c r="C8" s="26"/>
      <c r="D8" s="1505" t="s">
        <v>292</v>
      </c>
      <c r="E8" s="1304" t="s">
        <v>26</v>
      </c>
      <c r="F8" s="1506">
        <v>0.4190587830380167</v>
      </c>
      <c r="G8" s="26"/>
      <c r="H8" s="1214" t="s">
        <v>163</v>
      </c>
      <c r="I8" s="1215">
        <v>50000.00000000021</v>
      </c>
      <c r="P8" s="26"/>
      <c r="Q8" s="26"/>
      <c r="R8" s="26"/>
      <c r="S8" s="26"/>
      <c r="T8" s="26"/>
      <c r="U8" s="26"/>
      <c r="V8" s="26"/>
      <c r="W8" s="26"/>
      <c r="AA8" s="1216" t="s">
        <v>58</v>
      </c>
      <c r="AB8" s="1213" t="s">
        <v>59</v>
      </c>
      <c r="AC8" s="1217" t="s">
        <v>61</v>
      </c>
      <c r="AX8" s="28" t="s">
        <v>183</v>
      </c>
      <c r="AY8" s="26">
        <v>10</v>
      </c>
      <c r="AZ8" s="26"/>
      <c r="BA8" s="26"/>
      <c r="BB8" s="26" t="s">
        <v>183</v>
      </c>
      <c r="BC8" s="36">
        <v>20</v>
      </c>
      <c r="CA8" s="35" t="s">
        <v>459</v>
      </c>
      <c r="CB8" s="1218">
        <v>20</v>
      </c>
      <c r="CC8" s="1218"/>
    </row>
    <row r="9" spans="1:83" ht="60.75" customHeight="1" thickBot="1">
      <c r="A9" s="1212"/>
      <c r="B9" s="26"/>
      <c r="C9" s="26"/>
      <c r="D9" s="1212"/>
      <c r="E9" s="26"/>
      <c r="F9" s="15"/>
      <c r="G9" s="26"/>
      <c r="H9" s="1219" t="s">
        <v>169</v>
      </c>
      <c r="I9" s="1220">
        <f>soilsum</f>
        <v>845.15</v>
      </c>
      <c r="K9" s="1221"/>
      <c r="L9" s="1222"/>
      <c r="P9" s="26"/>
      <c r="Q9" s="26"/>
      <c r="R9" s="26"/>
      <c r="S9" s="26"/>
      <c r="T9" s="26"/>
      <c r="U9" s="26"/>
      <c r="V9" s="26"/>
      <c r="W9" s="26"/>
      <c r="AX9" s="1216" t="s">
        <v>205</v>
      </c>
      <c r="AY9" s="1223">
        <v>1</v>
      </c>
      <c r="AZ9" s="1223"/>
      <c r="BA9" s="1223"/>
      <c r="BB9" s="1223" t="s">
        <v>245</v>
      </c>
      <c r="BC9" s="1217">
        <v>30</v>
      </c>
      <c r="CA9" s="1224" t="s">
        <v>355</v>
      </c>
      <c r="CB9" s="1225">
        <f>ini</f>
        <v>50000.00000000021</v>
      </c>
      <c r="CC9" s="1225" t="s">
        <v>13</v>
      </c>
      <c r="CD9" s="1226"/>
      <c r="CE9" s="1226"/>
    </row>
    <row r="10" spans="1:83" ht="22.5" customHeight="1" thickBot="1">
      <c r="A10" s="1227"/>
      <c r="B10" s="26"/>
      <c r="C10" s="26"/>
      <c r="F10" s="35" t="s">
        <v>25</v>
      </c>
      <c r="G10" s="26"/>
      <c r="K10" s="1228"/>
      <c r="P10" s="26"/>
      <c r="Q10" s="26"/>
      <c r="R10" s="26"/>
      <c r="S10" s="26"/>
      <c r="T10" s="26"/>
      <c r="U10" s="45"/>
      <c r="V10" s="26"/>
      <c r="W10" s="26"/>
      <c r="AQ10" s="1229" t="str">
        <f>IF(AQ46&lt;1,"3phase model is valid!","4-phase model is valid!")</f>
        <v>4-phase model is valid!</v>
      </c>
      <c r="AR10" s="1230"/>
      <c r="AS10" s="1230"/>
      <c r="AT10" s="1230"/>
      <c r="AU10" s="28"/>
      <c r="AV10" s="26"/>
      <c r="AW10" s="1231" t="s">
        <v>234</v>
      </c>
      <c r="AX10" s="26"/>
      <c r="BZ10" s="1232" t="s">
        <v>350</v>
      </c>
      <c r="CA10" s="1233"/>
      <c r="CB10" s="1233"/>
      <c r="CC10" s="1233"/>
      <c r="CD10" s="1233"/>
      <c r="CE10" s="1233"/>
    </row>
    <row r="11" spans="1:84" s="1218" customFormat="1" ht="15.75" thickBot="1">
      <c r="A11" s="1639"/>
      <c r="B11" s="1640" t="s">
        <v>86</v>
      </c>
      <c r="C11" s="1639"/>
      <c r="D11" s="1641"/>
      <c r="E11" s="1642" t="s">
        <v>314</v>
      </c>
      <c r="F11" s="1639"/>
      <c r="G11" s="1639"/>
      <c r="H11" s="1639"/>
      <c r="I11" s="1639"/>
      <c r="J11" s="1639"/>
      <c r="K11" s="1643"/>
      <c r="L11" s="1642" t="s">
        <v>94</v>
      </c>
      <c r="M11" s="1639"/>
      <c r="N11" s="1639"/>
      <c r="O11" s="1643"/>
      <c r="P11" s="1644" t="s">
        <v>70</v>
      </c>
      <c r="Q11" s="1645"/>
      <c r="R11" s="1645"/>
      <c r="S11" s="1645"/>
      <c r="T11" s="1646"/>
      <c r="U11" s="1647"/>
      <c r="V11" s="1640" t="s">
        <v>71</v>
      </c>
      <c r="W11" s="1640"/>
      <c r="X11" s="1648"/>
      <c r="Y11" s="1649" t="s">
        <v>91</v>
      </c>
      <c r="Z11" s="1639" t="s">
        <v>75</v>
      </c>
      <c r="AA11" s="1643"/>
      <c r="AB11" s="1650" t="s">
        <v>89</v>
      </c>
      <c r="AC11" s="1640"/>
      <c r="AD11" s="1640"/>
      <c r="AE11" s="1640"/>
      <c r="AF11" s="1643"/>
      <c r="AG11" s="1644"/>
      <c r="AH11" s="1645"/>
      <c r="AI11" s="1645" t="s">
        <v>100</v>
      </c>
      <c r="AJ11" s="1645"/>
      <c r="AK11" s="1645"/>
      <c r="AL11" s="1645"/>
      <c r="AM11" s="1645"/>
      <c r="AN11" s="1645"/>
      <c r="AO11" s="1651"/>
      <c r="AP11" s="1649" t="s">
        <v>167</v>
      </c>
      <c r="AQ11" s="1652" t="s">
        <v>125</v>
      </c>
      <c r="AR11" s="1653"/>
      <c r="AS11" s="1653"/>
      <c r="AT11" s="1653"/>
      <c r="AU11" s="1652"/>
      <c r="AV11" s="1653"/>
      <c r="AW11" s="1642"/>
      <c r="AX11" s="1639"/>
      <c r="AY11" s="1639"/>
      <c r="AZ11" s="1639"/>
      <c r="BA11" s="1639"/>
      <c r="BB11" s="1639"/>
      <c r="BC11" s="1639"/>
      <c r="BD11" s="2204" t="s">
        <v>243</v>
      </c>
      <c r="BE11" s="2205"/>
      <c r="BF11" s="2205"/>
      <c r="BG11" s="2205"/>
      <c r="BH11" s="2206"/>
      <c r="BI11" s="2209" t="s">
        <v>244</v>
      </c>
      <c r="BJ11" s="2210"/>
      <c r="BK11" s="2210"/>
      <c r="BL11" s="2210"/>
      <c r="BM11" s="2211"/>
      <c r="BN11" s="2212"/>
      <c r="BR11" s="1642"/>
      <c r="BS11" s="1650" t="s">
        <v>256</v>
      </c>
      <c r="BT11" s="1640"/>
      <c r="BU11" s="1640"/>
      <c r="BV11" s="1640"/>
      <c r="BW11" s="1643"/>
      <c r="BX11" s="1653"/>
      <c r="BZ11" s="2198" t="s">
        <v>358</v>
      </c>
      <c r="CA11" s="2199"/>
      <c r="CB11" s="2199"/>
      <c r="CC11" s="2199"/>
      <c r="CD11" s="2199"/>
      <c r="CE11" s="2199"/>
      <c r="CF11" s="2202" t="s">
        <v>353</v>
      </c>
    </row>
    <row r="12" spans="1:84" s="1218" customFormat="1" ht="15.75" thickBot="1">
      <c r="A12" s="1654"/>
      <c r="B12" s="1654"/>
      <c r="C12" s="1654"/>
      <c r="D12" s="1654"/>
      <c r="E12" s="1655"/>
      <c r="F12" s="1654"/>
      <c r="G12" s="1654"/>
      <c r="H12" s="1654"/>
      <c r="I12" s="1654"/>
      <c r="J12" s="1654"/>
      <c r="K12" s="1654"/>
      <c r="L12" s="1656" t="str">
        <f>M54</f>
        <v>Yes!  NAPL phase is existing in this test!</v>
      </c>
      <c r="M12" s="1654"/>
      <c r="N12" s="1654"/>
      <c r="O12" s="1654"/>
      <c r="P12" s="1657" t="s">
        <v>149</v>
      </c>
      <c r="Q12" s="1658"/>
      <c r="R12" s="1659" t="s">
        <v>96</v>
      </c>
      <c r="S12" s="1658"/>
      <c r="T12" s="1660" t="s">
        <v>85</v>
      </c>
      <c r="U12" s="1661"/>
      <c r="V12" s="1661" t="s">
        <v>329</v>
      </c>
      <c r="W12" s="1661"/>
      <c r="X12" s="1661"/>
      <c r="Y12" s="1662" t="s">
        <v>92</v>
      </c>
      <c r="Z12" s="1654" t="s">
        <v>74</v>
      </c>
      <c r="AA12" s="1663"/>
      <c r="AB12" s="1664" t="s">
        <v>90</v>
      </c>
      <c r="AC12" s="1661"/>
      <c r="AD12" s="1661"/>
      <c r="AE12" s="1661"/>
      <c r="AF12" s="1663"/>
      <c r="AG12" s="1655" t="s">
        <v>112</v>
      </c>
      <c r="AH12" s="1654"/>
      <c r="AI12" s="1654"/>
      <c r="AJ12" s="1665"/>
      <c r="AK12" s="1654" t="s">
        <v>104</v>
      </c>
      <c r="AL12" s="1654"/>
      <c r="AM12" s="1654"/>
      <c r="AN12" s="1658"/>
      <c r="AO12" s="1666"/>
      <c r="AP12" s="1662" t="s">
        <v>168</v>
      </c>
      <c r="AQ12" s="1655" t="s">
        <v>126</v>
      </c>
      <c r="AR12" s="1654"/>
      <c r="AS12" s="1654"/>
      <c r="AT12" s="1654"/>
      <c r="AU12" s="1652"/>
      <c r="AV12" s="1653"/>
      <c r="AW12" s="1655"/>
      <c r="AX12" s="1654"/>
      <c r="AY12" s="1654"/>
      <c r="AZ12" s="1654"/>
      <c r="BA12" s="1654"/>
      <c r="BB12" s="1654"/>
      <c r="BC12" s="1663"/>
      <c r="BD12" s="1667"/>
      <c r="BE12" s="2213" t="s">
        <v>378</v>
      </c>
      <c r="BF12" s="2214"/>
      <c r="BG12" s="2207" t="s">
        <v>377</v>
      </c>
      <c r="BH12" s="2208"/>
      <c r="BI12" s="1668"/>
      <c r="BJ12" s="2215" t="s">
        <v>378</v>
      </c>
      <c r="BK12" s="2213"/>
      <c r="BL12" s="2214"/>
      <c r="BM12" s="1669" t="s">
        <v>377</v>
      </c>
      <c r="BN12" s="1670"/>
      <c r="BR12" s="1655"/>
      <c r="BS12" s="1664" t="s">
        <v>90</v>
      </c>
      <c r="BT12" s="1661"/>
      <c r="BU12" s="1661"/>
      <c r="BV12" s="1661"/>
      <c r="BW12" s="1663"/>
      <c r="BX12" s="1653"/>
      <c r="BZ12" s="2200"/>
      <c r="CA12" s="2201"/>
      <c r="CB12" s="2201"/>
      <c r="CC12" s="2201"/>
      <c r="CD12" s="2201"/>
      <c r="CE12" s="2201"/>
      <c r="CF12" s="2203"/>
    </row>
    <row r="13" spans="1:84" s="1244" customFormat="1" ht="60" customHeight="1">
      <c r="A13" s="1608" t="s">
        <v>8</v>
      </c>
      <c r="B13" s="1608" t="s">
        <v>87</v>
      </c>
      <c r="C13" s="1608" t="s">
        <v>21</v>
      </c>
      <c r="D13" s="1608" t="s">
        <v>64</v>
      </c>
      <c r="E13" s="1609" t="s">
        <v>171</v>
      </c>
      <c r="F13" s="1608" t="s">
        <v>172</v>
      </c>
      <c r="G13" s="1608" t="s">
        <v>32</v>
      </c>
      <c r="H13" s="1608" t="s">
        <v>37</v>
      </c>
      <c r="I13" s="1249" t="s">
        <v>9</v>
      </c>
      <c r="J13" s="1608" t="s">
        <v>10</v>
      </c>
      <c r="K13" s="1608" t="s">
        <v>95</v>
      </c>
      <c r="L13" s="1609" t="s">
        <v>67</v>
      </c>
      <c r="M13" s="1610" t="s">
        <v>34</v>
      </c>
      <c r="N13" s="1608" t="s">
        <v>33</v>
      </c>
      <c r="O13" s="1608" t="s">
        <v>35</v>
      </c>
      <c r="P13" s="1251" t="s">
        <v>11</v>
      </c>
      <c r="Q13" s="1611" t="s">
        <v>23</v>
      </c>
      <c r="R13" s="1249" t="s">
        <v>12</v>
      </c>
      <c r="S13" s="1611" t="s">
        <v>23</v>
      </c>
      <c r="T13" s="1612" t="s">
        <v>23</v>
      </c>
      <c r="U13" s="1613" t="s">
        <v>73</v>
      </c>
      <c r="V13" s="1613" t="s">
        <v>72</v>
      </c>
      <c r="W13" s="1613" t="s">
        <v>84</v>
      </c>
      <c r="X13" s="1613" t="s">
        <v>97</v>
      </c>
      <c r="Y13" s="1614" t="s">
        <v>31</v>
      </c>
      <c r="Z13" s="1238" t="s">
        <v>36</v>
      </c>
      <c r="AA13" s="1239" t="s">
        <v>46</v>
      </c>
      <c r="AB13" s="1238" t="s">
        <v>604</v>
      </c>
      <c r="AC13" s="1615" t="s">
        <v>58</v>
      </c>
      <c r="AD13" s="1238" t="s">
        <v>88</v>
      </c>
      <c r="AE13" s="1615" t="s">
        <v>60</v>
      </c>
      <c r="AF13" s="1239" t="s">
        <v>76</v>
      </c>
      <c r="AG13" s="1240" t="s">
        <v>73</v>
      </c>
      <c r="AH13" s="1241" t="s">
        <v>109</v>
      </c>
      <c r="AI13" s="1241" t="s">
        <v>110</v>
      </c>
      <c r="AJ13" s="1242" t="s">
        <v>97</v>
      </c>
      <c r="AK13" s="1241" t="s">
        <v>101</v>
      </c>
      <c r="AL13" s="1241" t="s">
        <v>103</v>
      </c>
      <c r="AM13" s="1241" t="s">
        <v>102</v>
      </c>
      <c r="AN13" s="1242" t="s">
        <v>82</v>
      </c>
      <c r="AO13" s="1243" t="s">
        <v>20</v>
      </c>
      <c r="AP13" s="1615" t="s">
        <v>174</v>
      </c>
      <c r="AQ13" s="1616" t="s">
        <v>124</v>
      </c>
      <c r="AR13" s="1617" t="s">
        <v>141</v>
      </c>
      <c r="AW13" s="1245" t="s">
        <v>192</v>
      </c>
      <c r="AX13" s="1246" t="s">
        <v>180</v>
      </c>
      <c r="AY13" s="1246" t="s">
        <v>383</v>
      </c>
      <c r="AZ13" s="1246" t="s">
        <v>619</v>
      </c>
      <c r="BA13" s="1247" t="s">
        <v>379</v>
      </c>
      <c r="BB13" s="1246" t="s">
        <v>186</v>
      </c>
      <c r="BC13" s="1246" t="s">
        <v>376</v>
      </c>
      <c r="BD13" s="1248" t="s">
        <v>184</v>
      </c>
      <c r="BE13" s="1249" t="s">
        <v>374</v>
      </c>
      <c r="BF13" s="1239" t="s">
        <v>185</v>
      </c>
      <c r="BG13" s="1249" t="s">
        <v>374</v>
      </c>
      <c r="BH13" s="1249" t="s">
        <v>185</v>
      </c>
      <c r="BI13" s="1248" t="s">
        <v>239</v>
      </c>
      <c r="BJ13" s="1249" t="s">
        <v>208</v>
      </c>
      <c r="BK13" s="1249" t="s">
        <v>273</v>
      </c>
      <c r="BL13" s="1239" t="s">
        <v>240</v>
      </c>
      <c r="BM13" s="1240" t="s">
        <v>208</v>
      </c>
      <c r="BN13" s="1250"/>
      <c r="BR13" s="1251" t="s">
        <v>326</v>
      </c>
      <c r="BS13" s="1249" t="s">
        <v>257</v>
      </c>
      <c r="BT13" s="1613" t="s">
        <v>58</v>
      </c>
      <c r="BU13" s="1249" t="s">
        <v>88</v>
      </c>
      <c r="BV13" s="1613" t="s">
        <v>258</v>
      </c>
      <c r="BW13" s="1239" t="s">
        <v>259</v>
      </c>
      <c r="BZ13" s="1618" t="s">
        <v>356</v>
      </c>
      <c r="CA13" s="1613" t="s">
        <v>279</v>
      </c>
      <c r="CB13" s="1619" t="s">
        <v>460</v>
      </c>
      <c r="CC13" s="1620" t="s">
        <v>352</v>
      </c>
      <c r="CD13" s="1619" t="s">
        <v>466</v>
      </c>
      <c r="CE13" s="1613" t="s">
        <v>352</v>
      </c>
      <c r="CF13" s="1621" t="s">
        <v>354</v>
      </c>
    </row>
    <row r="14" spans="1:84" s="1224" customFormat="1" ht="26.25" thickBot="1">
      <c r="A14" s="1252"/>
      <c r="B14" s="1252" t="s">
        <v>13</v>
      </c>
      <c r="C14" s="1252" t="s">
        <v>63</v>
      </c>
      <c r="D14" s="1252" t="s">
        <v>13</v>
      </c>
      <c r="E14" s="1253"/>
      <c r="F14" s="1252" t="s">
        <v>14</v>
      </c>
      <c r="G14" s="1252" t="s">
        <v>1</v>
      </c>
      <c r="H14" s="1252" t="s">
        <v>61</v>
      </c>
      <c r="I14" s="10" t="s">
        <v>15</v>
      </c>
      <c r="J14" s="1252" t="s">
        <v>16</v>
      </c>
      <c r="K14" s="1252" t="s">
        <v>1</v>
      </c>
      <c r="L14" s="1253" t="s">
        <v>26</v>
      </c>
      <c r="M14" s="1254" t="s">
        <v>14</v>
      </c>
      <c r="N14" s="1252" t="s">
        <v>14</v>
      </c>
      <c r="O14" s="1252" t="s">
        <v>68</v>
      </c>
      <c r="P14" s="9" t="s">
        <v>61</v>
      </c>
      <c r="Q14" s="13" t="s">
        <v>17</v>
      </c>
      <c r="R14" s="10" t="s">
        <v>61</v>
      </c>
      <c r="S14" s="13" t="s">
        <v>17</v>
      </c>
      <c r="T14" s="17" t="s">
        <v>17</v>
      </c>
      <c r="U14" s="10" t="s">
        <v>17</v>
      </c>
      <c r="V14" s="10" t="s">
        <v>114</v>
      </c>
      <c r="W14" s="10" t="s">
        <v>107</v>
      </c>
      <c r="X14" s="10" t="s">
        <v>108</v>
      </c>
      <c r="Y14" s="1255" t="s">
        <v>61</v>
      </c>
      <c r="Z14" s="1256" t="s">
        <v>62</v>
      </c>
      <c r="AA14" s="1257" t="s">
        <v>38</v>
      </c>
      <c r="AB14" s="1258" t="s">
        <v>51</v>
      </c>
      <c r="AC14" s="1256" t="s">
        <v>61</v>
      </c>
      <c r="AD14" s="1258"/>
      <c r="AE14" s="1256" t="s">
        <v>61</v>
      </c>
      <c r="AF14" s="1257" t="s">
        <v>38</v>
      </c>
      <c r="AG14" s="1259" t="s">
        <v>111</v>
      </c>
      <c r="AH14" s="1256" t="s">
        <v>111</v>
      </c>
      <c r="AI14" s="1256" t="s">
        <v>111</v>
      </c>
      <c r="AJ14" s="1260" t="s">
        <v>111</v>
      </c>
      <c r="AK14" s="1256" t="s">
        <v>38</v>
      </c>
      <c r="AL14" s="1256" t="s">
        <v>38</v>
      </c>
      <c r="AM14" s="1256" t="s">
        <v>38</v>
      </c>
      <c r="AN14" s="1260" t="s">
        <v>38</v>
      </c>
      <c r="AO14" s="1257" t="s">
        <v>38</v>
      </c>
      <c r="AP14" s="1255" t="s">
        <v>13</v>
      </c>
      <c r="AQ14" s="1261"/>
      <c r="AR14" s="1262" t="s">
        <v>68</v>
      </c>
      <c r="AW14" s="1261"/>
      <c r="AX14" s="1256" t="s">
        <v>13</v>
      </c>
      <c r="AY14" s="1256" t="s">
        <v>375</v>
      </c>
      <c r="AZ14" s="1256"/>
      <c r="BA14" s="1255" t="s">
        <v>375</v>
      </c>
      <c r="BB14" s="1256" t="s">
        <v>375</v>
      </c>
      <c r="BC14" s="1256" t="s">
        <v>375</v>
      </c>
      <c r="BD14" s="1255" t="s">
        <v>51</v>
      </c>
      <c r="BE14" s="1258"/>
      <c r="BF14" s="1263"/>
      <c r="BG14" s="1258"/>
      <c r="BH14" s="1258"/>
      <c r="BI14" s="1255" t="s">
        <v>194</v>
      </c>
      <c r="BJ14" s="1256"/>
      <c r="BK14" s="1256"/>
      <c r="BL14" s="1257"/>
      <c r="BM14" s="1264"/>
      <c r="BN14" s="1265"/>
      <c r="BR14" s="1259" t="s">
        <v>62</v>
      </c>
      <c r="BS14" s="1256" t="s">
        <v>194</v>
      </c>
      <c r="BT14" s="1256" t="s">
        <v>61</v>
      </c>
      <c r="BU14" s="1256"/>
      <c r="BV14" s="1256" t="s">
        <v>61</v>
      </c>
      <c r="BW14" s="1257" t="s">
        <v>38</v>
      </c>
      <c r="BZ14" s="1259" t="s">
        <v>351</v>
      </c>
      <c r="CA14" s="1256" t="s">
        <v>461</v>
      </c>
      <c r="CB14" s="1266"/>
      <c r="CC14" s="1260" t="s">
        <v>462</v>
      </c>
      <c r="CD14" s="1266"/>
      <c r="CE14" s="1256" t="s">
        <v>467</v>
      </c>
      <c r="CF14" s="1262" t="s">
        <v>357</v>
      </c>
    </row>
    <row r="15" spans="1:84" ht="14.25" thickTop="1">
      <c r="A15" s="1267" t="s">
        <v>294</v>
      </c>
      <c r="B15" s="7"/>
      <c r="C15" s="7"/>
      <c r="D15" s="8"/>
      <c r="E15" s="25"/>
      <c r="F15" s="8"/>
      <c r="G15" s="8"/>
      <c r="H15" s="8"/>
      <c r="I15" s="26"/>
      <c r="J15" s="8"/>
      <c r="K15" s="8"/>
      <c r="L15" s="25"/>
      <c r="M15" s="27"/>
      <c r="N15" s="8"/>
      <c r="O15" s="8"/>
      <c r="P15" s="28"/>
      <c r="Q15" s="29"/>
      <c r="R15" s="26"/>
      <c r="S15" s="29"/>
      <c r="T15" s="30"/>
      <c r="U15" s="31"/>
      <c r="V15" s="31"/>
      <c r="W15" s="31"/>
      <c r="X15" s="31"/>
      <c r="Y15" s="32"/>
      <c r="Z15" s="33"/>
      <c r="AA15" s="34"/>
      <c r="AC15" s="33"/>
      <c r="AE15" s="33"/>
      <c r="AF15" s="36"/>
      <c r="AG15" s="28"/>
      <c r="AH15" s="26"/>
      <c r="AI15" s="26"/>
      <c r="AJ15" s="29"/>
      <c r="AK15" s="26"/>
      <c r="AL15" s="26"/>
      <c r="AM15" s="26"/>
      <c r="AN15" s="29"/>
      <c r="AO15" s="36"/>
      <c r="AQ15" s="292"/>
      <c r="AR15" s="292"/>
      <c r="AW15" s="1268" t="str">
        <f>A15</f>
        <v>Petroleum EC Fraction</v>
      </c>
      <c r="AX15" s="8"/>
      <c r="AY15" s="26"/>
      <c r="AZ15" s="26"/>
      <c r="BA15" s="292"/>
      <c r="BB15" s="26"/>
      <c r="BC15" s="26"/>
      <c r="BD15" s="292"/>
      <c r="BE15" s="26"/>
      <c r="BF15" s="36"/>
      <c r="BG15" s="26"/>
      <c r="BH15" s="26"/>
      <c r="BI15" s="292"/>
      <c r="BJ15" s="361"/>
      <c r="BK15" s="361"/>
      <c r="BL15" s="34"/>
      <c r="BM15" s="28"/>
      <c r="BN15" s="36"/>
      <c r="BR15" s="28"/>
      <c r="BS15" s="26"/>
      <c r="BT15" s="26"/>
      <c r="BU15" s="26"/>
      <c r="BV15" s="26"/>
      <c r="BW15" s="36"/>
      <c r="BZ15" s="28"/>
      <c r="CA15" s="26"/>
      <c r="CB15" s="1269"/>
      <c r="CC15" s="29"/>
      <c r="CD15" s="1269"/>
      <c r="CE15" s="26"/>
      <c r="CF15" s="1270"/>
    </row>
    <row r="16" spans="1:84" ht="12.75">
      <c r="A16" s="8" t="str">
        <f>MainForm!B13</f>
        <v>AL_EC &gt;5-6</v>
      </c>
      <c r="B16" s="80">
        <f>MainForm!G13</f>
        <v>35</v>
      </c>
      <c r="C16" s="37">
        <f aca="true" t="shared" si="0" ref="C16:C22">B16/$B$46</f>
        <v>0.04141276696444418</v>
      </c>
      <c r="D16" s="16">
        <f>$I$8*C16</f>
        <v>2070.6383482222177</v>
      </c>
      <c r="E16" s="62">
        <f>VLOOKUP(A16,chemlist2,2,FALSE)</f>
        <v>5.5</v>
      </c>
      <c r="F16" s="46">
        <f>VLOOKUP(A16,chemlist2,3,FALSE)</f>
        <v>81000</v>
      </c>
      <c r="G16" s="46">
        <f>VLOOKUP(A16,chemlist2,4,FALSE)</f>
        <v>36</v>
      </c>
      <c r="H16" s="46">
        <f>VLOOKUP(A16,chemlist2,5,FALSE)</f>
        <v>33</v>
      </c>
      <c r="I16" s="46">
        <f>VLOOKUP(A16,chemlist2,6,FALSE)</f>
        <v>800</v>
      </c>
      <c r="J16" s="46">
        <f>IF(B16=0,0,D16/F16)</f>
        <v>0.025563436397805155</v>
      </c>
      <c r="K16" s="46">
        <f>VLOOKUP(A16,chemlist2,7,FALSE)</f>
        <v>670000</v>
      </c>
      <c r="L16" s="38">
        <f>IF(B16=0,0,K16/F16)</f>
        <v>8.271604938271604</v>
      </c>
      <c r="M16" s="39">
        <f aca="true" t="shared" si="1" ref="M16:M21">P16*F16</f>
        <v>7402.793476797677</v>
      </c>
      <c r="N16" s="40">
        <f aca="true" t="shared" si="2" ref="N16:N21">R16*F16</f>
        <v>7366.510760764185</v>
      </c>
      <c r="O16" s="2">
        <f>IF(B16=0,0,N16/K16)</f>
        <v>0.010994792180245051</v>
      </c>
      <c r="P16" s="4">
        <f aca="true" t="shared" si="3" ref="P16:P21">J16/J$46</f>
        <v>0.09139251205923057</v>
      </c>
      <c r="Q16" s="14">
        <f aca="true" t="shared" si="4" ref="Q16:Q21">P16*G16</f>
        <v>3.2901304341323008</v>
      </c>
      <c r="R16" s="5">
        <f>IF(B16=0,0,$F$3*D16/(($F$5+I16*$F$7*$F$3+H16*$F$6+F16*F$8/G16)*G16))</f>
        <v>0.090944577293385</v>
      </c>
      <c r="S16" s="14">
        <f aca="true" t="shared" si="5" ref="S16:S21">R16*G16</f>
        <v>3.27400478256186</v>
      </c>
      <c r="T16" s="18">
        <f>(D16*$F$3)/($F$5+$F$7*I16*$F$3+H16*$C$6)</f>
        <v>536.4348052389165</v>
      </c>
      <c r="U16" s="5">
        <f aca="true" t="shared" si="6" ref="U16:U45">IF(inival&gt;0,S16,T16)</f>
        <v>3.27400478256186</v>
      </c>
      <c r="V16" s="5">
        <f>H16*U16</f>
        <v>108.04215782454138</v>
      </c>
      <c r="W16" s="5">
        <f>U16*InputOutput!$U$10*I16</f>
        <v>2.619203826049488</v>
      </c>
      <c r="X16" s="5">
        <f aca="true" t="shared" si="7" ref="X16:X45">IF(inival&lt;0,0,(N16*$F$8)/$O$49)</f>
        <v>34444.970102300744</v>
      </c>
      <c r="Y16" s="32">
        <f>InputOutput!$U$11</f>
        <v>20</v>
      </c>
      <c r="Z16" s="41">
        <f aca="true" t="shared" si="8" ref="Z16:Z21">U16/Y16*1000</f>
        <v>163.70023912809302</v>
      </c>
      <c r="AA16" s="42">
        <f aca="true" t="shared" si="9" ref="AA16:AA22">Z16/$Z$46</f>
        <v>0.17360482240053624</v>
      </c>
      <c r="AB16" s="1271">
        <f>VLOOKUP(A16,chemlist2,8,FALSE)</f>
        <v>1.7</v>
      </c>
      <c r="AC16" s="1272">
        <f>VLOOKUP(A16,chemlist2,9,FALSE)</f>
        <v>2</v>
      </c>
      <c r="AD16" s="41">
        <f>IF(AB16=0,0,$AB$7*AC16/($AB$5*$AB$6*AB16))</f>
        <v>7.352941176470588E-05</v>
      </c>
      <c r="AE16" s="41">
        <f>AD16*Z16</f>
        <v>0.012036782288830369</v>
      </c>
      <c r="AF16" s="43">
        <f aca="true" t="shared" si="10" ref="AF16:AF22">AE16/$AE$46</f>
        <v>0.007613003836703865</v>
      </c>
      <c r="AG16" s="1273">
        <f>IF($C$6-$O$49&gt;0,U16*InputOutput!$U$7,U16*(InputOutput!$U$6-$O$49))</f>
        <v>0.9822014347685579</v>
      </c>
      <c r="AH16" s="1274">
        <f>IF($C$6-$O$49&gt;0,V16*(InputOutput!$U$8-$O$49),0)</f>
        <v>4.362608039763917</v>
      </c>
      <c r="AI16" s="31">
        <f>W16*InputOutput!$U$9</f>
        <v>3.928805739074232</v>
      </c>
      <c r="AJ16" s="1275">
        <f aca="true" t="shared" si="11" ref="AJ16:AJ21">X16*$O$49</f>
        <v>3087.0010346422937</v>
      </c>
      <c r="AK16" s="1276">
        <f>IF(AG16=0,0,AG16/(SUM(AG16:AJ16)))</f>
        <v>0.0003172203844430497</v>
      </c>
      <c r="AL16" s="1276">
        <f>IF(AH16=0,0,AH16/(SUM(AG16:AJ16)))</f>
        <v>0.0014089861311130626</v>
      </c>
      <c r="AM16" s="1276">
        <f>IF(AI16=0,0,AI16/(SUM(AG16:AJ16)))</f>
        <v>0.001268881537772199</v>
      </c>
      <c r="AN16" s="1277">
        <f>IF(AJ16=0,0,AJ16/(SUM(AG16:AJ16)))</f>
        <v>0.9970049119466717</v>
      </c>
      <c r="AO16" s="1278">
        <f>SUM(AK16:AN16)</f>
        <v>1</v>
      </c>
      <c r="AP16" s="1086">
        <f>(G16/$F$3)*(I16*foc*$F$3+$F$5+$C$6*H16)</f>
        <v>138.96</v>
      </c>
      <c r="AQ16" s="1279">
        <f>IF(AG16=0,0,T16/G16)</f>
        <v>14.900966812192125</v>
      </c>
      <c r="AR16" s="1279">
        <f>IF(B16=0,0,M16/K16)</f>
        <v>0.011048945487757726</v>
      </c>
      <c r="AS16" s="1086"/>
      <c r="AT16" s="1086"/>
      <c r="AW16" s="25" t="str">
        <f aca="true" t="shared" si="12" ref="AW16:AW45">A16</f>
        <v>AL_EC &gt;5-6</v>
      </c>
      <c r="AX16" s="1280">
        <f>D16</f>
        <v>2070.6383482222177</v>
      </c>
      <c r="AY16" s="31">
        <f>V16*1000000</f>
        <v>108042157.82454138</v>
      </c>
      <c r="AZ16" s="31">
        <f>$AY$5</f>
        <v>1000</v>
      </c>
      <c r="BA16" s="1279">
        <f>AY16/AZ16</f>
        <v>108042.15782454137</v>
      </c>
      <c r="BB16" s="31">
        <f>Soil_vapor!C13</f>
        <v>40</v>
      </c>
      <c r="BC16" s="31">
        <f>IF((BA16-BB16)&lt;0,0,BA16)</f>
        <v>108042.15782454137</v>
      </c>
      <c r="BD16" s="292">
        <f>VLOOKUP(A16,chemlist2,10,FALSE)</f>
        <v>1.7</v>
      </c>
      <c r="BE16" s="31">
        <f aca="true" t="shared" si="13" ref="BE16:BE45">IF(AX16=0,0,IF(BD16=0,0,BC16/(BD16*$AY$7*1000/$AY$8)))</f>
        <v>39.72138155314021</v>
      </c>
      <c r="BF16" s="43">
        <f aca="true" t="shared" si="14" ref="BF16:BF22">BE16/$BE$46</f>
        <v>0.19347803548311934</v>
      </c>
      <c r="BG16" s="1281">
        <f>IF(AX16=0,0,IF(BD16=0,0,BA16/(BD16*$AY$7*1000/$AY$8)))</f>
        <v>39.72138155314021</v>
      </c>
      <c r="BH16" s="1276">
        <f>BG16/$BG$46</f>
        <v>0.19347803548311934</v>
      </c>
      <c r="BI16" s="292">
        <f>VLOOKUP(A16,chemlist2,15,FALSE)</f>
        <v>0</v>
      </c>
      <c r="BJ16" s="1207">
        <f aca="true" t="shared" si="15" ref="BJ16:BJ28">IF(ISERROR(BC16/(($BC$6*$BC$7*1000)/(BI16*$BC$8*1*$BC$9))),"",BC16/(($BC$6*$BC$7*1000)/(BI16*$BC$8*1*$BC$9)))</f>
      </c>
      <c r="BK16" s="361"/>
      <c r="BL16" s="34"/>
      <c r="BM16" s="1273">
        <f>IF(ISERROR(BA16/(($BC$6*$BC$7*1000)/(BI16*$BC$8*1*$BC$9))),"",BA16/(($BC$6*$BC$7*1000)/(BI16*$BC$8*1*$BC$9)))</f>
      </c>
      <c r="BN16" s="36"/>
      <c r="BR16" s="4">
        <f>Z16</f>
        <v>163.70023912809302</v>
      </c>
      <c r="BS16" s="47">
        <f>VLOOKUP(A16,chemlist2,14,FALSE)</f>
        <v>0</v>
      </c>
      <c r="BT16" s="47">
        <f>VLOOKUP(A16,chemlist2,9,FALSE)</f>
        <v>2</v>
      </c>
      <c r="BU16" s="5">
        <f>IF(ISERROR(70*75*1000/(BS16*2*30*BT16*1)),,70*75*1000/(BS16*2*30*BT16*1))</f>
        <v>0</v>
      </c>
      <c r="BV16" s="5">
        <f>IF(ISERROR(BR16/BU16),,BR16/BU16)</f>
        <v>0</v>
      </c>
      <c r="BW16" s="42">
        <f>BV16/$BV$46</f>
        <v>0</v>
      </c>
      <c r="BZ16" s="1273">
        <v>0.38</v>
      </c>
      <c r="CA16" s="15">
        <f aca="true" t="shared" si="16" ref="CA16:CA36">F16/1000</f>
        <v>81</v>
      </c>
      <c r="CB16" s="1282">
        <f aca="true" t="shared" si="17" ref="CB16:CB36">P16</f>
        <v>0.09139251205923057</v>
      </c>
      <c r="CC16" s="1275">
        <f aca="true" t="shared" si="18" ref="CC16:CC36">CB16*BZ16*CA16/(0.0000821*(273+temp))*1000000</f>
        <v>116941444.13842757</v>
      </c>
      <c r="CD16" s="1282">
        <f>R16</f>
        <v>0.090944577293385</v>
      </c>
      <c r="CE16" s="31">
        <f aca="true" t="shared" si="19" ref="CE16:CE36">CD16*BZ16*CA16/(0.00008209*(273+temp))*1000000</f>
        <v>116382464.14346653</v>
      </c>
      <c r="CF16" s="1283">
        <f aca="true" t="shared" si="20" ref="CF16:CF36">V16*1000000</f>
        <v>108042157.82454138</v>
      </c>
    </row>
    <row r="17" spans="1:84" ht="12.75">
      <c r="A17" s="8" t="str">
        <f>MainForm!B14</f>
        <v>AL_EC &gt;6-8</v>
      </c>
      <c r="B17" s="80">
        <f>MainForm!G14</f>
        <v>20</v>
      </c>
      <c r="C17" s="37">
        <f t="shared" si="0"/>
        <v>0.023664438265396676</v>
      </c>
      <c r="D17" s="16">
        <f aca="true" t="shared" si="21" ref="D17:D45">$I$8*C17</f>
        <v>1183.2219132698388</v>
      </c>
      <c r="E17" s="62">
        <f aca="true" t="shared" si="22" ref="E17:E31">VLOOKUP(A17,chemlist2,2,FALSE)</f>
        <v>7</v>
      </c>
      <c r="F17" s="46">
        <f aca="true" t="shared" si="23" ref="F17:F45">VLOOKUP(A17,chemlist2,3,FALSE)</f>
        <v>100000</v>
      </c>
      <c r="G17" s="46">
        <f aca="true" t="shared" si="24" ref="G17:G45">VLOOKUP(A17,chemlist2,4,FALSE)</f>
        <v>5.4</v>
      </c>
      <c r="H17" s="46">
        <f aca="true" t="shared" si="25" ref="H17:H45">VLOOKUP(A17,chemlist2,5,FALSE)</f>
        <v>50</v>
      </c>
      <c r="I17" s="46">
        <f aca="true" t="shared" si="26" ref="I17:I45">VLOOKUP(A17,chemlist2,6,FALSE)</f>
        <v>3800</v>
      </c>
      <c r="J17" s="46">
        <f aca="true" t="shared" si="27" ref="J17:J45">IF(B17=0,0,D17/F17)</f>
        <v>0.011832219132698387</v>
      </c>
      <c r="K17" s="46">
        <f aca="true" t="shared" si="28" ref="K17:K45">VLOOKUP(A17,chemlist2,7,FALSE)</f>
        <v>700000</v>
      </c>
      <c r="L17" s="38">
        <f aca="true" t="shared" si="29" ref="L17:L34">IF(B17=0,0,K17/F17)</f>
        <v>7</v>
      </c>
      <c r="M17" s="39">
        <f t="shared" si="1"/>
        <v>4230.167701027244</v>
      </c>
      <c r="N17" s="40">
        <f t="shared" si="2"/>
        <v>4228.4727644712975</v>
      </c>
      <c r="O17" s="2">
        <f aca="true" t="shared" si="30" ref="O17:O34">IF(B17=0,0,N17/K17)</f>
        <v>0.006040675377816139</v>
      </c>
      <c r="P17" s="4">
        <f t="shared" si="3"/>
        <v>0.04230167701027244</v>
      </c>
      <c r="Q17" s="14">
        <f t="shared" si="4"/>
        <v>0.22842905585547119</v>
      </c>
      <c r="R17" s="5">
        <f aca="true" t="shared" si="31" ref="R17:R34">IF(B17=0,0,$F$3*D17/(($F$5+I17*$F$7*$F$3+H17*$F$6+F17*F$8/G17)*G17))</f>
        <v>0.04228472764471297</v>
      </c>
      <c r="S17" s="14">
        <f t="shared" si="5"/>
        <v>0.22833752928145007</v>
      </c>
      <c r="T17" s="18">
        <f aca="true" t="shared" si="32" ref="T17:T34">(D17*$F$3)/($F$5+$F$7*I17*$F$3+H17*$C$6)</f>
        <v>141.98662959238064</v>
      </c>
      <c r="U17" s="5">
        <f t="shared" si="6"/>
        <v>0.22833752928145007</v>
      </c>
      <c r="V17" s="5">
        <f aca="true" t="shared" si="33" ref="V17:V34">H17*U17</f>
        <v>11.416876464072503</v>
      </c>
      <c r="W17" s="5">
        <f>U17*InputOutput!$U$10*I17</f>
        <v>0.8676826112695103</v>
      </c>
      <c r="X17" s="5">
        <f t="shared" si="7"/>
        <v>19771.859796414315</v>
      </c>
      <c r="Y17" s="32">
        <f>InputOutput!$U$11</f>
        <v>20</v>
      </c>
      <c r="Z17" s="41">
        <f t="shared" si="8"/>
        <v>11.416876464072503</v>
      </c>
      <c r="AA17" s="42">
        <f t="shared" si="9"/>
        <v>0.012107647621475152</v>
      </c>
      <c r="AB17" s="1271">
        <f aca="true" t="shared" si="34" ref="AB17:AB45">VLOOKUP(A17,chemlist2,8,FALSE)</f>
        <v>1.7</v>
      </c>
      <c r="AC17" s="1272">
        <f aca="true" t="shared" si="35" ref="AC17:AC45">VLOOKUP(A17,chemlist2,9,FALSE)</f>
        <v>2</v>
      </c>
      <c r="AD17" s="41">
        <f aca="true" t="shared" si="36" ref="AD17:AD34">IF(AB17=0,0,$AB$7*AC17/($AB$5*$AB$6*AB17))</f>
        <v>7.352941176470588E-05</v>
      </c>
      <c r="AE17" s="41">
        <f aca="true" t="shared" si="37" ref="AE17:AE34">AD17*Z17</f>
        <v>0.0008394762105935664</v>
      </c>
      <c r="AF17" s="43">
        <f t="shared" si="10"/>
        <v>0.0005309505031092042</v>
      </c>
      <c r="AG17" s="1273">
        <f>IF($C$6-$O$49&gt;0,U17*InputOutput!$U$7,U17*(InputOutput!$U$6-$O$49))</f>
        <v>0.06850125878443501</v>
      </c>
      <c r="AH17" s="1274">
        <f>IF($C$6-$O$49&gt;0,V17*(InputOutput!$U$8-$O$49),0)</f>
        <v>0.46099928078112296</v>
      </c>
      <c r="AI17" s="31">
        <f>W17*InputOutput!$U$9</f>
        <v>1.3015239169042654</v>
      </c>
      <c r="AJ17" s="1275">
        <f t="shared" si="11"/>
        <v>1771.9786507887402</v>
      </c>
      <c r="AK17" s="1276">
        <f aca="true" t="shared" si="38" ref="AK17:AK31">IF(AG17=0,0,AG17/(SUM(AG17:AJ17)))</f>
        <v>3.8618156017761856E-05</v>
      </c>
      <c r="AL17" s="1276">
        <f aca="true" t="shared" si="39" ref="AL17:AL31">IF(AH17=0,0,AH17/(SUM(AG17:AJ17)))</f>
        <v>0.0002598921897961769</v>
      </c>
      <c r="AM17" s="1276">
        <f aca="true" t="shared" si="40" ref="AM17:AM31">IF(AI17=0,0,AI17/(SUM(AG17:AJ17)))</f>
        <v>0.0007337449643374754</v>
      </c>
      <c r="AN17" s="1277">
        <f aca="true" t="shared" si="41" ref="AN17:AN31">IF(AJ17=0,0,AJ17/(SUM(AG17:AJ17)))</f>
        <v>0.9989677446898486</v>
      </c>
      <c r="AO17" s="1278">
        <f aca="true" t="shared" si="42" ref="AO17:AO31">SUM(AK17:AN17)</f>
        <v>1</v>
      </c>
      <c r="AP17" s="1086">
        <f aca="true" t="shared" si="43" ref="AP17:AP34">(G17/$F$3)*(I17*foc*$F$3+$F$5+$C$6*H17)</f>
        <v>45</v>
      </c>
      <c r="AQ17" s="1279">
        <f aca="true" t="shared" si="44" ref="AQ17:AQ34">IF(AG17=0,0,T17/G17)</f>
        <v>26.2938202948853</v>
      </c>
      <c r="AR17" s="1279">
        <f aca="true" t="shared" si="45" ref="AR17:AR34">IF(B17=0,0,M17/K17)</f>
        <v>0.006043096715753206</v>
      </c>
      <c r="AS17" s="1086"/>
      <c r="AT17" s="1086"/>
      <c r="AW17" s="25" t="str">
        <f t="shared" si="12"/>
        <v>AL_EC &gt;6-8</v>
      </c>
      <c r="AX17" s="1280">
        <f aca="true" t="shared" si="46" ref="AX17:AX46">D17</f>
        <v>1183.2219132698388</v>
      </c>
      <c r="AY17" s="31">
        <f aca="true" t="shared" si="47" ref="AY17:AY46">V17*1000000</f>
        <v>11416876.464072503</v>
      </c>
      <c r="AZ17" s="31">
        <f aca="true" t="shared" si="48" ref="AZ17:AZ45">$AY$5</f>
        <v>1000</v>
      </c>
      <c r="BA17" s="1279">
        <f aca="true" t="shared" si="49" ref="BA17:BA45">AY17/AZ17</f>
        <v>11416.876464072504</v>
      </c>
      <c r="BB17" s="31">
        <f>Soil_vapor!C14</f>
        <v>40</v>
      </c>
      <c r="BC17" s="31">
        <f aca="true" t="shared" si="50" ref="BC17:BC45">IF((BA17-BB17)&lt;0,0,BA17)</f>
        <v>11416.876464072504</v>
      </c>
      <c r="BD17" s="292">
        <f aca="true" t="shared" si="51" ref="BD17:BD45">VLOOKUP(A17,chemlist2,10,FALSE)</f>
        <v>1.7</v>
      </c>
      <c r="BE17" s="31">
        <f t="shared" si="13"/>
        <v>4.197381052967832</v>
      </c>
      <c r="BF17" s="43">
        <f t="shared" si="14"/>
        <v>0.020444934404304012</v>
      </c>
      <c r="BG17" s="1281">
        <f aca="true" t="shared" si="52" ref="BG17:BG45">IF(AX17=0,0,IF(BD17=0,0,BA17/(BD17*$AY$7*1000/$AY$8)))</f>
        <v>4.197381052967832</v>
      </c>
      <c r="BH17" s="1276">
        <f aca="true" t="shared" si="53" ref="BH17:BH45">BG17/$BG$46</f>
        <v>0.020444934404304012</v>
      </c>
      <c r="BI17" s="292">
        <f aca="true" t="shared" si="54" ref="BI17:BI45">VLOOKUP(A17,chemlist2,15,FALSE)</f>
        <v>0</v>
      </c>
      <c r="BJ17" s="1207">
        <f t="shared" si="15"/>
      </c>
      <c r="BK17" s="361"/>
      <c r="BL17" s="34"/>
      <c r="BM17" s="1273">
        <f aca="true" t="shared" si="55" ref="BM17:BM45">IF(ISERROR(BA17/(($BC$6*$BC$7*1000)/(BI17*$BC$8*1*$BC$9))),"",BA17/(($BC$6*$BC$7*1000)/(BI17*$BC$8*1*$BC$9)))</f>
      </c>
      <c r="BN17" s="36"/>
      <c r="BR17" s="4">
        <f aca="true" t="shared" si="56" ref="BR17:BR45">Z17</f>
        <v>11.416876464072503</v>
      </c>
      <c r="BS17" s="47">
        <f aca="true" t="shared" si="57" ref="BS17:BS45">VLOOKUP(A17,chemlist2,14,FALSE)</f>
        <v>0</v>
      </c>
      <c r="BT17" s="47">
        <f aca="true" t="shared" si="58" ref="BT17:BT45">VLOOKUP(A17,chemlist2,9,FALSE)</f>
        <v>2</v>
      </c>
      <c r="BU17" s="5">
        <f aca="true" t="shared" si="59" ref="BU17:BU45">IF(ISERROR(70*75*1000/(BS17*2*30*BT17*1)),,70*75*1000/(BS17*2*30*BT17*1))</f>
        <v>0</v>
      </c>
      <c r="BV17" s="5">
        <f aca="true" t="shared" si="60" ref="BV17:BV45">IF(ISERROR(BR17/BU17),,BR17/BU17)</f>
        <v>0</v>
      </c>
      <c r="BW17" s="42">
        <f aca="true" t="shared" si="61" ref="BW17:BW45">BV17/$BV$46</f>
        <v>0</v>
      </c>
      <c r="BZ17" s="1273">
        <v>0.07</v>
      </c>
      <c r="CA17" s="15">
        <f t="shared" si="16"/>
        <v>100</v>
      </c>
      <c r="CB17" s="1282">
        <f t="shared" si="17"/>
        <v>0.04230167701027244</v>
      </c>
      <c r="CC17" s="1275">
        <f t="shared" si="18"/>
        <v>12309625.69878185</v>
      </c>
      <c r="CD17" s="1282">
        <f aca="true" t="shared" si="62" ref="CD17:CD36">R17</f>
        <v>0.04228472764471297</v>
      </c>
      <c r="CE17" s="31">
        <f t="shared" si="19"/>
        <v>12306192.425652476</v>
      </c>
      <c r="CF17" s="1283">
        <f t="shared" si="20"/>
        <v>11416876.464072503</v>
      </c>
    </row>
    <row r="18" spans="1:84" ht="12.75">
      <c r="A18" s="8" t="str">
        <f>MainForm!B15</f>
        <v>AL_EC &gt;8-10</v>
      </c>
      <c r="B18" s="80">
        <f>MainForm!G15</f>
        <v>40</v>
      </c>
      <c r="C18" s="37">
        <f t="shared" si="0"/>
        <v>0.04732887653079335</v>
      </c>
      <c r="D18" s="51">
        <f t="shared" si="21"/>
        <v>2366.4438265396775</v>
      </c>
      <c r="E18" s="62">
        <f t="shared" si="22"/>
        <v>9</v>
      </c>
      <c r="F18" s="46">
        <f t="shared" si="23"/>
        <v>130000</v>
      </c>
      <c r="G18" s="46">
        <f t="shared" si="24"/>
        <v>0.43</v>
      </c>
      <c r="H18" s="46">
        <f t="shared" si="25"/>
        <v>80</v>
      </c>
      <c r="I18" s="46">
        <f t="shared" si="26"/>
        <v>30200</v>
      </c>
      <c r="J18" s="46">
        <f t="shared" si="27"/>
        <v>0.018203414050305212</v>
      </c>
      <c r="K18" s="46">
        <f t="shared" si="28"/>
        <v>730000</v>
      </c>
      <c r="L18" s="38">
        <f t="shared" si="29"/>
        <v>5.615384615384615</v>
      </c>
      <c r="M18" s="39">
        <f t="shared" si="1"/>
        <v>8460.335402054488</v>
      </c>
      <c r="N18" s="40">
        <f t="shared" si="2"/>
        <v>8466.825101625705</v>
      </c>
      <c r="O18" s="2">
        <f t="shared" si="30"/>
        <v>0.0115983905501722</v>
      </c>
      <c r="P18" s="4">
        <f t="shared" si="3"/>
        <v>0.06507950309272684</v>
      </c>
      <c r="Q18" s="14">
        <f t="shared" si="4"/>
        <v>0.02798418632987254</v>
      </c>
      <c r="R18" s="5">
        <f t="shared" si="31"/>
        <v>0.06512942385865927</v>
      </c>
      <c r="S18" s="14">
        <f t="shared" si="5"/>
        <v>0.02800565225922349</v>
      </c>
      <c r="T18" s="18">
        <f t="shared" si="32"/>
        <v>63.38688821088423</v>
      </c>
      <c r="U18" s="5">
        <f t="shared" si="6"/>
        <v>0.02800565225922349</v>
      </c>
      <c r="V18" s="5">
        <f t="shared" si="33"/>
        <v>2.240452180737879</v>
      </c>
      <c r="W18" s="5">
        <f>U18*InputOutput!$U$10*I18</f>
        <v>0.8457706982285494</v>
      </c>
      <c r="X18" s="5">
        <f t="shared" si="7"/>
        <v>39589.91535588999</v>
      </c>
      <c r="Y18" s="32">
        <f>InputOutput!$U$11</f>
        <v>20</v>
      </c>
      <c r="Z18" s="41">
        <f t="shared" si="8"/>
        <v>1.4002826129611745</v>
      </c>
      <c r="AA18" s="42">
        <f t="shared" si="9"/>
        <v>0.0014850058596644117</v>
      </c>
      <c r="AB18" s="1271">
        <f t="shared" si="34"/>
        <v>0.03</v>
      </c>
      <c r="AC18" s="1272">
        <f t="shared" si="35"/>
        <v>2</v>
      </c>
      <c r="AD18" s="41">
        <f t="shared" si="36"/>
        <v>0.004166666666666667</v>
      </c>
      <c r="AE18" s="41">
        <f t="shared" si="37"/>
        <v>0.005834510887338227</v>
      </c>
      <c r="AF18" s="43">
        <f t="shared" si="10"/>
        <v>0.0036902016423288296</v>
      </c>
      <c r="AG18" s="1273">
        <f>IF($C$6-$O$49&gt;0,U18*InputOutput!$U$7,U18*(InputOutput!$U$6-$O$49))</f>
        <v>0.008401695677767046</v>
      </c>
      <c r="AH18" s="1274">
        <f>IF($C$6-$O$49&gt;0,V18*(InputOutput!$U$8-$O$49),0)</f>
        <v>0.09046667424272321</v>
      </c>
      <c r="AI18" s="31">
        <f>W18*InputOutput!$U$9</f>
        <v>1.2686560473428241</v>
      </c>
      <c r="AJ18" s="1275">
        <f t="shared" si="11"/>
        <v>3548.097423283</v>
      </c>
      <c r="AK18" s="1276">
        <f t="shared" si="38"/>
        <v>2.3670315953424464E-06</v>
      </c>
      <c r="AL18" s="1276">
        <f t="shared" si="39"/>
        <v>2.5487411645334757E-05</v>
      </c>
      <c r="AM18" s="1276">
        <f t="shared" si="40"/>
        <v>0.00035742177089670944</v>
      </c>
      <c r="AN18" s="1277">
        <f t="shared" si="41"/>
        <v>0.9996147237858627</v>
      </c>
      <c r="AO18" s="1278">
        <f t="shared" si="42"/>
        <v>1</v>
      </c>
      <c r="AP18" s="1086">
        <f t="shared" si="43"/>
        <v>16.05333333333333</v>
      </c>
      <c r="AQ18" s="1279">
        <f t="shared" si="44"/>
        <v>147.4113679322889</v>
      </c>
      <c r="AR18" s="1279">
        <f t="shared" si="45"/>
        <v>0.011589500550759572</v>
      </c>
      <c r="AS18" s="1086"/>
      <c r="AT18" s="1086"/>
      <c r="AW18" s="25" t="str">
        <f t="shared" si="12"/>
        <v>AL_EC &gt;8-10</v>
      </c>
      <c r="AX18" s="1280">
        <f t="shared" si="46"/>
        <v>2366.4438265396775</v>
      </c>
      <c r="AY18" s="31">
        <f t="shared" si="47"/>
        <v>2240452.180737879</v>
      </c>
      <c r="AZ18" s="31">
        <f t="shared" si="48"/>
        <v>1000</v>
      </c>
      <c r="BA18" s="1279">
        <f t="shared" si="49"/>
        <v>2240.452180737879</v>
      </c>
      <c r="BB18" s="31">
        <f>Soil_vapor!C15</f>
        <v>40</v>
      </c>
      <c r="BC18" s="31">
        <f t="shared" si="50"/>
        <v>2240.452180737879</v>
      </c>
      <c r="BD18" s="292">
        <f t="shared" si="51"/>
        <v>0.085</v>
      </c>
      <c r="BE18" s="31">
        <f t="shared" si="13"/>
        <v>16.473913093660876</v>
      </c>
      <c r="BF18" s="43">
        <f t="shared" si="14"/>
        <v>0.08024243411113592</v>
      </c>
      <c r="BG18" s="1281">
        <f t="shared" si="52"/>
        <v>16.473913093660876</v>
      </c>
      <c r="BH18" s="1276">
        <f t="shared" si="53"/>
        <v>0.08024243411113592</v>
      </c>
      <c r="BI18" s="292">
        <f t="shared" si="54"/>
        <v>0</v>
      </c>
      <c r="BJ18" s="1207">
        <f t="shared" si="15"/>
      </c>
      <c r="BK18" s="361"/>
      <c r="BL18" s="34"/>
      <c r="BM18" s="1273">
        <f t="shared" si="55"/>
      </c>
      <c r="BN18" s="36"/>
      <c r="BR18" s="4">
        <f t="shared" si="56"/>
        <v>1.4002826129611745</v>
      </c>
      <c r="BS18" s="47">
        <f t="shared" si="57"/>
        <v>0</v>
      </c>
      <c r="BT18" s="47">
        <f t="shared" si="58"/>
        <v>2</v>
      </c>
      <c r="BU18" s="5">
        <f t="shared" si="59"/>
        <v>0</v>
      </c>
      <c r="BV18" s="5">
        <f t="shared" si="60"/>
        <v>0</v>
      </c>
      <c r="BW18" s="42">
        <f t="shared" si="61"/>
        <v>0</v>
      </c>
      <c r="BZ18" s="1273">
        <v>0.0069</v>
      </c>
      <c r="CA18" s="15">
        <f t="shared" si="16"/>
        <v>130</v>
      </c>
      <c r="CB18" s="1282">
        <f t="shared" si="17"/>
        <v>0.06507950309272684</v>
      </c>
      <c r="CC18" s="1275">
        <f t="shared" si="18"/>
        <v>2426754.7806169936</v>
      </c>
      <c r="CD18" s="1282">
        <f t="shared" si="62"/>
        <v>0.06512942385865927</v>
      </c>
      <c r="CE18" s="31">
        <f t="shared" si="19"/>
        <v>2428912.128044653</v>
      </c>
      <c r="CF18" s="1283">
        <f t="shared" si="20"/>
        <v>2240452.180737879</v>
      </c>
    </row>
    <row r="19" spans="1:84" ht="12.75">
      <c r="A19" s="8" t="str">
        <f>MainForm!B16</f>
        <v>AL_EC &gt;10-12</v>
      </c>
      <c r="B19" s="80">
        <f>MainForm!G16</f>
        <v>57</v>
      </c>
      <c r="C19" s="37">
        <f t="shared" si="0"/>
        <v>0.06744364905638052</v>
      </c>
      <c r="D19" s="51">
        <f t="shared" si="21"/>
        <v>3372.18245281904</v>
      </c>
      <c r="E19" s="62">
        <f t="shared" si="22"/>
        <v>11</v>
      </c>
      <c r="F19" s="46">
        <f t="shared" si="23"/>
        <v>160000</v>
      </c>
      <c r="G19" s="46">
        <f t="shared" si="24"/>
        <v>0.034</v>
      </c>
      <c r="H19" s="46">
        <f t="shared" si="25"/>
        <v>120</v>
      </c>
      <c r="I19" s="46">
        <f t="shared" si="26"/>
        <v>234000</v>
      </c>
      <c r="J19" s="46">
        <f t="shared" si="27"/>
        <v>0.021076140330119</v>
      </c>
      <c r="K19" s="46">
        <f t="shared" si="28"/>
        <v>750000</v>
      </c>
      <c r="L19" s="38">
        <f t="shared" si="29"/>
        <v>4.6875</v>
      </c>
      <c r="M19" s="39">
        <f t="shared" si="1"/>
        <v>12055.977947927646</v>
      </c>
      <c r="N19" s="40">
        <f t="shared" si="2"/>
        <v>12068.31347482891</v>
      </c>
      <c r="O19" s="2">
        <f t="shared" si="30"/>
        <v>0.016091084633105213</v>
      </c>
      <c r="P19" s="4">
        <f t="shared" si="3"/>
        <v>0.07534986217454778</v>
      </c>
      <c r="Q19" s="14">
        <f t="shared" si="4"/>
        <v>0.0025618953139346246</v>
      </c>
      <c r="R19" s="5">
        <f t="shared" si="31"/>
        <v>0.0754269592176807</v>
      </c>
      <c r="S19" s="14">
        <f t="shared" si="5"/>
        <v>0.002564516613401144</v>
      </c>
      <c r="T19" s="18">
        <f t="shared" si="32"/>
        <v>13.786518613323954</v>
      </c>
      <c r="U19" s="5">
        <f t="shared" si="6"/>
        <v>0.002564516613401144</v>
      </c>
      <c r="V19" s="5">
        <f t="shared" si="33"/>
        <v>0.30774199360813725</v>
      </c>
      <c r="W19" s="5">
        <f>U19*InputOutput!$U$10*I19</f>
        <v>0.6000968875358677</v>
      </c>
      <c r="X19" s="5">
        <f t="shared" si="7"/>
        <v>56430.06714111581</v>
      </c>
      <c r="Y19" s="32">
        <f>InputOutput!$U$11</f>
        <v>20</v>
      </c>
      <c r="Z19" s="41">
        <f t="shared" si="8"/>
        <v>0.1282258306700572</v>
      </c>
      <c r="AA19" s="42">
        <f t="shared" si="9"/>
        <v>0.00013598405646321569</v>
      </c>
      <c r="AB19" s="1271">
        <f t="shared" si="34"/>
        <v>0.03</v>
      </c>
      <c r="AC19" s="1272">
        <f t="shared" si="35"/>
        <v>2</v>
      </c>
      <c r="AD19" s="41">
        <f t="shared" si="36"/>
        <v>0.004166666666666667</v>
      </c>
      <c r="AE19" s="41">
        <f t="shared" si="37"/>
        <v>0.0005342742944585716</v>
      </c>
      <c r="AF19" s="43">
        <f t="shared" si="10"/>
        <v>0.00033791690802115475</v>
      </c>
      <c r="AG19" s="1273">
        <f>IF($C$6-$O$49&gt;0,U19*InputOutput!$U$7,U19*(InputOutput!$U$6-$O$49))</f>
        <v>0.0007693549840203432</v>
      </c>
      <c r="AH19" s="1274">
        <f>IF($C$6-$O$49&gt;0,V19*(InputOutput!$U$8-$O$49),0)</f>
        <v>0.012426239187744903</v>
      </c>
      <c r="AI19" s="31">
        <f>W19*InputOutput!$U$9</f>
        <v>0.9001453313038015</v>
      </c>
      <c r="AJ19" s="1275">
        <f t="shared" si="11"/>
        <v>5057.332758083102</v>
      </c>
      <c r="AK19" s="1276">
        <f t="shared" si="38"/>
        <v>1.5209916025460637E-07</v>
      </c>
      <c r="AL19" s="1276">
        <f t="shared" si="39"/>
        <v>2.4566300145381346E-06</v>
      </c>
      <c r="AM19" s="1276">
        <f t="shared" si="40"/>
        <v>0.00017795601749788945</v>
      </c>
      <c r="AN19" s="1277">
        <f t="shared" si="41"/>
        <v>0.9998194352533273</v>
      </c>
      <c r="AO19" s="1278">
        <f t="shared" si="42"/>
        <v>1</v>
      </c>
      <c r="AP19" s="1086">
        <f t="shared" si="43"/>
        <v>8.316400000000002</v>
      </c>
      <c r="AQ19" s="1279">
        <f t="shared" si="44"/>
        <v>405.4858415683516</v>
      </c>
      <c r="AR19" s="1279">
        <f t="shared" si="45"/>
        <v>0.016074637263903527</v>
      </c>
      <c r="AS19" s="1086"/>
      <c r="AT19" s="1086"/>
      <c r="AW19" s="25" t="str">
        <f t="shared" si="12"/>
        <v>AL_EC &gt;10-12</v>
      </c>
      <c r="AX19" s="1280">
        <f t="shared" si="46"/>
        <v>3372.18245281904</v>
      </c>
      <c r="AY19" s="31">
        <f t="shared" si="47"/>
        <v>307741.99360813724</v>
      </c>
      <c r="AZ19" s="31">
        <f t="shared" si="48"/>
        <v>1000</v>
      </c>
      <c r="BA19" s="1279">
        <f t="shared" si="49"/>
        <v>307.74199360813725</v>
      </c>
      <c r="BB19" s="31">
        <f>Soil_vapor!C16</f>
        <v>40</v>
      </c>
      <c r="BC19" s="31">
        <f t="shared" si="50"/>
        <v>307.74199360813725</v>
      </c>
      <c r="BD19" s="292">
        <f t="shared" si="51"/>
        <v>0.085</v>
      </c>
      <c r="BE19" s="31">
        <f t="shared" si="13"/>
        <v>2.262808776530421</v>
      </c>
      <c r="BF19" s="43">
        <f t="shared" si="14"/>
        <v>0.011021867307695788</v>
      </c>
      <c r="BG19" s="1281">
        <f t="shared" si="52"/>
        <v>2.262808776530421</v>
      </c>
      <c r="BH19" s="1276">
        <f t="shared" si="53"/>
        <v>0.011021867307695788</v>
      </c>
      <c r="BI19" s="292">
        <f t="shared" si="54"/>
        <v>0</v>
      </c>
      <c r="BJ19" s="1207">
        <f t="shared" si="15"/>
      </c>
      <c r="BK19" s="361"/>
      <c r="BL19" s="34"/>
      <c r="BM19" s="1273">
        <f t="shared" si="55"/>
      </c>
      <c r="BN19" s="36"/>
      <c r="BR19" s="4">
        <f t="shared" si="56"/>
        <v>0.1282258306700572</v>
      </c>
      <c r="BS19" s="47">
        <f t="shared" si="57"/>
        <v>0</v>
      </c>
      <c r="BT19" s="47">
        <f t="shared" si="58"/>
        <v>2</v>
      </c>
      <c r="BU19" s="5">
        <f t="shared" si="59"/>
        <v>0</v>
      </c>
      <c r="BV19" s="5">
        <f t="shared" si="60"/>
        <v>0</v>
      </c>
      <c r="BW19" s="42">
        <f t="shared" si="61"/>
        <v>0</v>
      </c>
      <c r="BZ19" s="1273">
        <v>0.00072</v>
      </c>
      <c r="CA19" s="15">
        <f t="shared" si="16"/>
        <v>160</v>
      </c>
      <c r="CB19" s="1282">
        <f t="shared" si="17"/>
        <v>0.07534986217454778</v>
      </c>
      <c r="CC19" s="1275">
        <f t="shared" si="18"/>
        <v>360847.8847700051</v>
      </c>
      <c r="CD19" s="1282">
        <f t="shared" si="62"/>
        <v>0.0754269592176807</v>
      </c>
      <c r="CE19" s="31">
        <f t="shared" si="19"/>
        <v>361261.1024143075</v>
      </c>
      <c r="CF19" s="1283">
        <f t="shared" si="20"/>
        <v>307741.99360813724</v>
      </c>
    </row>
    <row r="20" spans="1:84" ht="12.75">
      <c r="A20" s="8" t="str">
        <f>MainForm!B17</f>
        <v>AL_EC &gt;12-16</v>
      </c>
      <c r="B20" s="80">
        <f>MainForm!G17</f>
        <v>125</v>
      </c>
      <c r="C20" s="37">
        <f t="shared" si="0"/>
        <v>0.14790273915872923</v>
      </c>
      <c r="D20" s="51">
        <f t="shared" si="21"/>
        <v>7395.136957936493</v>
      </c>
      <c r="E20" s="62">
        <f t="shared" si="22"/>
        <v>14</v>
      </c>
      <c r="F20" s="46">
        <f t="shared" si="23"/>
        <v>200000</v>
      </c>
      <c r="G20" s="46">
        <f t="shared" si="24"/>
        <v>0.00076</v>
      </c>
      <c r="H20" s="46">
        <f t="shared" si="25"/>
        <v>520</v>
      </c>
      <c r="I20" s="46">
        <f t="shared" si="26"/>
        <v>5370000</v>
      </c>
      <c r="J20" s="46">
        <f t="shared" si="27"/>
        <v>0.03697568478968247</v>
      </c>
      <c r="K20" s="46">
        <f t="shared" si="28"/>
        <v>770000</v>
      </c>
      <c r="L20" s="38">
        <f t="shared" si="29"/>
        <v>3.85</v>
      </c>
      <c r="M20" s="39">
        <f t="shared" si="1"/>
        <v>26438.54813142028</v>
      </c>
      <c r="N20" s="40">
        <f t="shared" si="2"/>
        <v>26468.574051802807</v>
      </c>
      <c r="O20" s="2">
        <f t="shared" si="30"/>
        <v>0.0343747714958478</v>
      </c>
      <c r="P20" s="4">
        <f t="shared" si="3"/>
        <v>0.1321927406571014</v>
      </c>
      <c r="Q20" s="14">
        <f t="shared" si="4"/>
        <v>0.00010046648289939707</v>
      </c>
      <c r="R20" s="5">
        <f t="shared" si="31"/>
        <v>0.13234287025901403</v>
      </c>
      <c r="S20" s="14">
        <f t="shared" si="5"/>
        <v>0.00010058058139685067</v>
      </c>
      <c r="T20" s="18">
        <f t="shared" si="32"/>
        <v>1.3656090111788572</v>
      </c>
      <c r="U20" s="5">
        <f t="shared" si="6"/>
        <v>0.00010058058139685067</v>
      </c>
      <c r="V20" s="5">
        <f t="shared" si="33"/>
        <v>0.05230190232636235</v>
      </c>
      <c r="W20" s="5">
        <f>U20*InputOutput!$U$10*I20</f>
        <v>0.5401177221010881</v>
      </c>
      <c r="X20" s="5">
        <f t="shared" si="7"/>
        <v>123764.05485224628</v>
      </c>
      <c r="Y20" s="32">
        <f>InputOutput!$U$11</f>
        <v>20</v>
      </c>
      <c r="Z20" s="41">
        <f t="shared" si="8"/>
        <v>0.005029029069842534</v>
      </c>
      <c r="AA20" s="42">
        <f t="shared" si="9"/>
        <v>5.333307410956117E-06</v>
      </c>
      <c r="AB20" s="1271">
        <f t="shared" si="34"/>
        <v>0.03</v>
      </c>
      <c r="AC20" s="1272">
        <f t="shared" si="35"/>
        <v>1</v>
      </c>
      <c r="AD20" s="41">
        <f t="shared" si="36"/>
        <v>0.0020833333333333333</v>
      </c>
      <c r="AE20" s="41">
        <f t="shared" si="37"/>
        <v>1.0477143895505278E-05</v>
      </c>
      <c r="AF20" s="43">
        <f t="shared" si="10"/>
        <v>6.626566366344971E-06</v>
      </c>
      <c r="AG20" s="1273">
        <f>IF($C$6-$O$49&gt;0,U20*InputOutput!$U$7,U20*(InputOutput!$U$6-$O$49))</f>
        <v>3.01741744190552E-05</v>
      </c>
      <c r="AH20" s="1274">
        <f>IF($C$6-$O$49&gt;0,V20*(InputOutput!$U$8-$O$49),0)</f>
        <v>0.002111885806228381</v>
      </c>
      <c r="AI20" s="31">
        <f>W20*InputOutput!$U$9</f>
        <v>0.8101765831516321</v>
      </c>
      <c r="AJ20" s="1275">
        <f t="shared" si="11"/>
        <v>11091.888430900111</v>
      </c>
      <c r="AK20" s="1276">
        <f t="shared" si="38"/>
        <v>2.7201828572088415E-09</v>
      </c>
      <c r="AL20" s="1276">
        <f t="shared" si="39"/>
        <v>1.9038517795725629E-07</v>
      </c>
      <c r="AM20" s="1276">
        <f t="shared" si="40"/>
        <v>7.303690971605739E-05</v>
      </c>
      <c r="AN20" s="1277">
        <f t="shared" si="41"/>
        <v>0.999926769984923</v>
      </c>
      <c r="AO20" s="1278">
        <f t="shared" si="42"/>
        <v>0.9999999999999999</v>
      </c>
      <c r="AP20" s="1086">
        <f t="shared" si="43"/>
        <v>4.115602666666667</v>
      </c>
      <c r="AQ20" s="1279">
        <f t="shared" si="44"/>
        <v>1796.8539620774436</v>
      </c>
      <c r="AR20" s="1279">
        <f t="shared" si="45"/>
        <v>0.034335776794052315</v>
      </c>
      <c r="AS20" s="1086"/>
      <c r="AT20" s="1086"/>
      <c r="AW20" s="25" t="str">
        <f t="shared" si="12"/>
        <v>AL_EC &gt;12-16</v>
      </c>
      <c r="AX20" s="1280">
        <f t="shared" si="46"/>
        <v>7395.136957936493</v>
      </c>
      <c r="AY20" s="31">
        <f t="shared" si="47"/>
        <v>52301.90232636235</v>
      </c>
      <c r="AZ20" s="31">
        <f t="shared" si="48"/>
        <v>1000</v>
      </c>
      <c r="BA20" s="1279">
        <f t="shared" si="49"/>
        <v>52.30190232636235</v>
      </c>
      <c r="BB20" s="31">
        <f>Soil_vapor!C17</f>
        <v>0</v>
      </c>
      <c r="BC20" s="31">
        <f t="shared" si="50"/>
        <v>52.30190232636235</v>
      </c>
      <c r="BD20" s="292">
        <f t="shared" si="51"/>
        <v>0.085</v>
      </c>
      <c r="BE20" s="31">
        <f t="shared" si="13"/>
        <v>0.3845728112232526</v>
      </c>
      <c r="BF20" s="43">
        <f t="shared" si="14"/>
        <v>0.001873207554882067</v>
      </c>
      <c r="BG20" s="1281">
        <f t="shared" si="52"/>
        <v>0.3845728112232526</v>
      </c>
      <c r="BH20" s="1276">
        <f t="shared" si="53"/>
        <v>0.001873207554882067</v>
      </c>
      <c r="BI20" s="292">
        <f t="shared" si="54"/>
        <v>0</v>
      </c>
      <c r="BJ20" s="1207">
        <f t="shared" si="15"/>
      </c>
      <c r="BK20" s="361"/>
      <c r="BL20" s="34"/>
      <c r="BM20" s="1273">
        <f t="shared" si="55"/>
      </c>
      <c r="BN20" s="36"/>
      <c r="BR20" s="4">
        <f t="shared" si="56"/>
        <v>0.005029029069842534</v>
      </c>
      <c r="BS20" s="47">
        <f t="shared" si="57"/>
        <v>0</v>
      </c>
      <c r="BT20" s="47">
        <f t="shared" si="58"/>
        <v>1</v>
      </c>
      <c r="BU20" s="5">
        <f t="shared" si="59"/>
        <v>0</v>
      </c>
      <c r="BV20" s="5">
        <f t="shared" si="60"/>
        <v>0</v>
      </c>
      <c r="BW20" s="42">
        <f t="shared" si="61"/>
        <v>0</v>
      </c>
      <c r="BZ20" s="1273">
        <v>3.9E-05</v>
      </c>
      <c r="CA20" s="15">
        <f t="shared" si="16"/>
        <v>200</v>
      </c>
      <c r="CB20" s="1282">
        <f t="shared" si="17"/>
        <v>0.1321927406571014</v>
      </c>
      <c r="CC20" s="1275">
        <f t="shared" si="18"/>
        <v>42863.87520111538</v>
      </c>
      <c r="CD20" s="1282">
        <f t="shared" si="62"/>
        <v>0.13234287025901403</v>
      </c>
      <c r="CE20" s="31">
        <f t="shared" si="19"/>
        <v>42917.78265594241</v>
      </c>
      <c r="CF20" s="1283">
        <f t="shared" si="20"/>
        <v>52301.90232636235</v>
      </c>
    </row>
    <row r="21" spans="1:84" ht="12.75">
      <c r="A21" s="8" t="str">
        <f>MainForm!B18</f>
        <v>AL_EC &gt;16-21</v>
      </c>
      <c r="B21" s="80">
        <f>MainForm!G18</f>
        <v>300</v>
      </c>
      <c r="C21" s="37">
        <f t="shared" si="0"/>
        <v>0.35496657398095016</v>
      </c>
      <c r="D21" s="51">
        <f t="shared" si="21"/>
        <v>17748.328699047583</v>
      </c>
      <c r="E21" s="62">
        <f t="shared" si="22"/>
        <v>19</v>
      </c>
      <c r="F21" s="46">
        <f t="shared" si="23"/>
        <v>270000</v>
      </c>
      <c r="G21" s="46">
        <f t="shared" si="24"/>
        <v>1.3E-06</v>
      </c>
      <c r="H21" s="46">
        <f t="shared" si="25"/>
        <v>4900</v>
      </c>
      <c r="I21" s="46">
        <f t="shared" si="26"/>
        <v>9550000000</v>
      </c>
      <c r="J21" s="46">
        <f t="shared" si="27"/>
        <v>0.06573455073721327</v>
      </c>
      <c r="K21" s="46">
        <f t="shared" si="28"/>
        <v>780000</v>
      </c>
      <c r="L21" s="38">
        <f t="shared" si="29"/>
        <v>2.888888888888889</v>
      </c>
      <c r="M21" s="39">
        <f t="shared" si="1"/>
        <v>63452.51551540866</v>
      </c>
      <c r="N21" s="40">
        <f t="shared" si="2"/>
        <v>63518.80189164529</v>
      </c>
      <c r="O21" s="2">
        <f t="shared" si="30"/>
        <v>0.08143436139954524</v>
      </c>
      <c r="P21" s="4">
        <f t="shared" si="3"/>
        <v>0.2350093167237358</v>
      </c>
      <c r="Q21" s="14">
        <f t="shared" si="4"/>
        <v>3.0551211174085654E-07</v>
      </c>
      <c r="R21" s="5">
        <f t="shared" si="31"/>
        <v>0.23525482182090848</v>
      </c>
      <c r="S21" s="14">
        <f t="shared" si="5"/>
        <v>3.0583126836718103E-07</v>
      </c>
      <c r="T21" s="18">
        <f t="shared" si="32"/>
        <v>0.0018583810612440518</v>
      </c>
      <c r="U21" s="5">
        <f t="shared" si="6"/>
        <v>3.0583126836718103E-07</v>
      </c>
      <c r="V21" s="5">
        <f t="shared" si="33"/>
        <v>0.001498573214999187</v>
      </c>
      <c r="W21" s="5">
        <f>U21*InputOutput!$U$10*I21</f>
        <v>2.920688612906579</v>
      </c>
      <c r="X21" s="5">
        <f t="shared" si="7"/>
        <v>297006.7245058525</v>
      </c>
      <c r="Y21" s="32">
        <f>InputOutput!$U$11</f>
        <v>20</v>
      </c>
      <c r="Z21" s="41">
        <f t="shared" si="8"/>
        <v>1.529156341835905E-05</v>
      </c>
      <c r="AA21" s="42">
        <f t="shared" si="9"/>
        <v>1.621677015018594E-08</v>
      </c>
      <c r="AB21" s="1271">
        <f t="shared" si="34"/>
        <v>2</v>
      </c>
      <c r="AC21" s="1272">
        <f t="shared" si="35"/>
        <v>1</v>
      </c>
      <c r="AD21" s="41">
        <f t="shared" si="36"/>
        <v>3.125E-05</v>
      </c>
      <c r="AE21" s="41">
        <f t="shared" si="37"/>
        <v>4.778613568237203E-10</v>
      </c>
      <c r="AF21" s="43">
        <f t="shared" si="10"/>
        <v>3.022369480161964E-10</v>
      </c>
      <c r="AG21" s="1273">
        <f>IF($C$6-$O$49&gt;0,U21*InputOutput!$U$7,U21*(InputOutput!$U$6-$O$49))</f>
        <v>9.174938051015431E-08</v>
      </c>
      <c r="AH21" s="1274">
        <f>IF($C$6-$O$49&gt;0,V21*(InputOutput!$U$8-$O$49),0)</f>
        <v>6.0510523739699906E-05</v>
      </c>
      <c r="AI21" s="31">
        <f>W21*InputOutput!$U$9</f>
        <v>4.3810329193598685</v>
      </c>
      <c r="AJ21" s="1275">
        <f t="shared" si="11"/>
        <v>26618.11182074575</v>
      </c>
      <c r="AK21" s="1276">
        <f t="shared" si="38"/>
        <v>3.4463106368594234E-12</v>
      </c>
      <c r="AL21" s="1276">
        <f t="shared" si="39"/>
        <v>2.2729097509599275E-09</v>
      </c>
      <c r="AM21" s="1276">
        <f t="shared" si="40"/>
        <v>0.00016456133291003748</v>
      </c>
      <c r="AN21" s="1277">
        <f t="shared" si="41"/>
        <v>0.9998354363907339</v>
      </c>
      <c r="AO21" s="1278">
        <f t="shared" si="42"/>
        <v>1</v>
      </c>
      <c r="AP21" s="1086">
        <f t="shared" si="43"/>
        <v>12.415552326666667</v>
      </c>
      <c r="AQ21" s="1279">
        <f t="shared" si="44"/>
        <v>1429.5238932646553</v>
      </c>
      <c r="AR21" s="1279">
        <f t="shared" si="45"/>
        <v>0.08134937886590854</v>
      </c>
      <c r="AS21" s="1086"/>
      <c r="AT21" s="1086"/>
      <c r="AW21" s="25" t="str">
        <f t="shared" si="12"/>
        <v>AL_EC &gt;16-21</v>
      </c>
      <c r="AX21" s="1280">
        <f t="shared" si="46"/>
        <v>17748.328699047583</v>
      </c>
      <c r="AY21" s="31">
        <f t="shared" si="47"/>
        <v>1498.573214999187</v>
      </c>
      <c r="AZ21" s="31">
        <f t="shared" si="48"/>
        <v>1000</v>
      </c>
      <c r="BA21" s="1279">
        <f t="shared" si="49"/>
        <v>1.498573214999187</v>
      </c>
      <c r="BB21" s="31">
        <f>Soil_vapor!C18</f>
        <v>0</v>
      </c>
      <c r="BC21" s="31">
        <f t="shared" si="50"/>
        <v>1.498573214999187</v>
      </c>
      <c r="BD21" s="292">
        <f t="shared" si="51"/>
        <v>0</v>
      </c>
      <c r="BE21" s="31">
        <f t="shared" si="13"/>
        <v>0</v>
      </c>
      <c r="BF21" s="43">
        <f t="shared" si="14"/>
        <v>0</v>
      </c>
      <c r="BG21" s="1281">
        <f t="shared" si="52"/>
        <v>0</v>
      </c>
      <c r="BH21" s="1276">
        <f t="shared" si="53"/>
        <v>0</v>
      </c>
      <c r="BI21" s="292">
        <f t="shared" si="54"/>
        <v>0</v>
      </c>
      <c r="BJ21" s="1207">
        <f t="shared" si="15"/>
      </c>
      <c r="BK21" s="361"/>
      <c r="BL21" s="34"/>
      <c r="BM21" s="1273">
        <f t="shared" si="55"/>
      </c>
      <c r="BN21" s="36"/>
      <c r="BR21" s="4">
        <f t="shared" si="56"/>
        <v>1.529156341835905E-05</v>
      </c>
      <c r="BS21" s="47">
        <f t="shared" si="57"/>
        <v>0</v>
      </c>
      <c r="BT21" s="47">
        <f t="shared" si="58"/>
        <v>1</v>
      </c>
      <c r="BU21" s="5">
        <f t="shared" si="59"/>
        <v>0</v>
      </c>
      <c r="BV21" s="5">
        <f t="shared" si="60"/>
        <v>0</v>
      </c>
      <c r="BW21" s="42">
        <f t="shared" si="61"/>
        <v>0</v>
      </c>
      <c r="BZ21" s="1273">
        <v>1.1E-06</v>
      </c>
      <c r="CA21" s="15">
        <f t="shared" si="16"/>
        <v>270</v>
      </c>
      <c r="CB21" s="1282">
        <f t="shared" si="17"/>
        <v>0.2350093167237358</v>
      </c>
      <c r="CC21" s="1275">
        <f t="shared" si="18"/>
        <v>2901.5546289985796</v>
      </c>
      <c r="CD21" s="1282">
        <f t="shared" si="62"/>
        <v>0.23525482182090848</v>
      </c>
      <c r="CE21" s="31">
        <f t="shared" si="19"/>
        <v>2904.9395997487904</v>
      </c>
      <c r="CF21" s="1283">
        <f t="shared" si="20"/>
        <v>1498.573214999187</v>
      </c>
    </row>
    <row r="22" spans="1:84" ht="12.75">
      <c r="A22" s="112" t="str">
        <f>MainForm!B19</f>
        <v>AL_EC &gt;21-34</v>
      </c>
      <c r="B22" s="1534">
        <f>MainForm!G19</f>
        <v>0</v>
      </c>
      <c r="C22" s="212">
        <f t="shared" si="0"/>
        <v>0</v>
      </c>
      <c r="D22" s="213">
        <f t="shared" si="21"/>
        <v>0</v>
      </c>
      <c r="E22" s="214">
        <f t="shared" si="22"/>
        <v>28</v>
      </c>
      <c r="F22" s="215">
        <f>VLOOKUP(A22,chemlist2,3,FALSE)</f>
        <v>400000</v>
      </c>
      <c r="G22" s="215">
        <f>VLOOKUP(A22,chemlist2,4,FALSE)</f>
        <v>1.5E-11</v>
      </c>
      <c r="H22" s="215">
        <f>VLOOKUP(A22,chemlist2,5,FALSE)</f>
        <v>100000</v>
      </c>
      <c r="I22" s="215">
        <f>VLOOKUP(A22,chemlist2,6,FALSE)</f>
        <v>10700000000</v>
      </c>
      <c r="J22" s="215">
        <f>IF(B22=0,0,D22/F22)</f>
        <v>0</v>
      </c>
      <c r="K22" s="215">
        <f>VLOOKUP(A22,chemlist2,7,FALSE)</f>
        <v>790000</v>
      </c>
      <c r="L22" s="216">
        <f>IF(B22=0,0,K22/F22)</f>
        <v>0</v>
      </c>
      <c r="M22" s="1284">
        <f>P22*F22</f>
        <v>0</v>
      </c>
      <c r="N22" s="1285">
        <f>R22*F22</f>
        <v>0</v>
      </c>
      <c r="O22" s="217">
        <f>IF(B22=0,0,N22/K22)</f>
        <v>0</v>
      </c>
      <c r="P22" s="218">
        <f>J22/J$46</f>
        <v>0</v>
      </c>
      <c r="Q22" s="219">
        <f>P22*G22</f>
        <v>0</v>
      </c>
      <c r="R22" s="220">
        <f>IF(B22=0,0,$F$3*D22/(($F$5+I22*$F$7*$F$3+H22*$F$6+F22*F$8/G22)*G22))</f>
        <v>0</v>
      </c>
      <c r="S22" s="219">
        <f>R22*G22</f>
        <v>0</v>
      </c>
      <c r="T22" s="244">
        <f>(D22*$F$3)/($F$5+$F$7*I22*$F$3+H22*$C$6)</f>
        <v>0</v>
      </c>
      <c r="U22" s="220">
        <f t="shared" si="6"/>
        <v>0</v>
      </c>
      <c r="V22" s="220">
        <f>H22*U22</f>
        <v>0</v>
      </c>
      <c r="W22" s="220">
        <f>U22*InputOutput!$U$10*I22</f>
        <v>0</v>
      </c>
      <c r="X22" s="221">
        <f t="shared" si="7"/>
        <v>0</v>
      </c>
      <c r="Y22" s="1286">
        <f>InputOutput!$U$11</f>
        <v>20</v>
      </c>
      <c r="Z22" s="220">
        <f>U22/Y22*1000</f>
        <v>0</v>
      </c>
      <c r="AA22" s="1287">
        <f t="shared" si="9"/>
        <v>0</v>
      </c>
      <c r="AB22" s="1288">
        <f>VLOOKUP(A22,chemlist2,8,FALSE)</f>
        <v>2</v>
      </c>
      <c r="AC22" s="1289">
        <f>VLOOKUP(A22,chemlist2,9,FALSE)</f>
        <v>1</v>
      </c>
      <c r="AD22" s="220">
        <f>IF(AB22=0,0,$AB$7*AC22/($AB$5*$AB$6*AB22))</f>
        <v>3.125E-05</v>
      </c>
      <c r="AE22" s="220">
        <f>AD22*Z22</f>
        <v>0</v>
      </c>
      <c r="AF22" s="1290">
        <f t="shared" si="10"/>
        <v>0</v>
      </c>
      <c r="AG22" s="1291">
        <f>IF($C$6-$O$49&gt;0,U22*InputOutput!$U$7,U22*(InputOutput!$U$6-$O$49))</f>
        <v>0</v>
      </c>
      <c r="AH22" s="1292">
        <f>IF($C$6-$O$49&gt;0,V22*(InputOutput!$U$8-$O$49),0)</f>
        <v>0</v>
      </c>
      <c r="AI22" s="1293">
        <f>W22*InputOutput!$U$9</f>
        <v>0</v>
      </c>
      <c r="AJ22" s="1294">
        <f>X22*$O$49</f>
        <v>0</v>
      </c>
      <c r="AK22" s="1295">
        <f>IF(AG22=0,0,AG22/(SUM(AG22:AJ22)))</f>
        <v>0</v>
      </c>
      <c r="AL22" s="1295">
        <f>IF(AH22=0,0,AH22/(SUM(AG22:AJ22)))</f>
        <v>0</v>
      </c>
      <c r="AM22" s="1295">
        <f>IF(AI22=0,0,AI22/(SUM(AG22:AJ22)))</f>
        <v>0</v>
      </c>
      <c r="AN22" s="1296">
        <f>IF(AJ22=0,0,AJ22/(SUM(AG22:AJ22)))</f>
        <v>0</v>
      </c>
      <c r="AO22" s="1297">
        <f>SUM(AK22:AN22)</f>
        <v>0</v>
      </c>
      <c r="AP22" s="1293">
        <f>(G22/$F$3)*(I22*foc*$F$3+$F$5+$C$6*H22)</f>
        <v>0.000160630003</v>
      </c>
      <c r="AQ22" s="1298">
        <f>IF(AG22=0,0,T22/G22)</f>
        <v>0</v>
      </c>
      <c r="AR22" s="1298">
        <f>IF(B22=0,0,M22/K22)</f>
        <v>0</v>
      </c>
      <c r="AS22" s="1086"/>
      <c r="AT22" s="1086"/>
      <c r="AW22" s="1299" t="str">
        <f t="shared" si="12"/>
        <v>AL_EC &gt;21-34</v>
      </c>
      <c r="AX22" s="1300">
        <f t="shared" si="46"/>
        <v>0</v>
      </c>
      <c r="AY22" s="1293">
        <f>V22*1000000</f>
        <v>0</v>
      </c>
      <c r="AZ22" s="1293">
        <f t="shared" si="48"/>
        <v>1000</v>
      </c>
      <c r="BA22" s="1298">
        <f>AY22/AZ22</f>
        <v>0</v>
      </c>
      <c r="BB22" s="1293">
        <f>Soil_vapor!C19</f>
        <v>0</v>
      </c>
      <c r="BC22" s="1293">
        <f t="shared" si="50"/>
        <v>0</v>
      </c>
      <c r="BD22" s="1301">
        <f>VLOOKUP(A22,chemlist2,10,FALSE)</f>
        <v>0</v>
      </c>
      <c r="BE22" s="1293">
        <f t="shared" si="13"/>
        <v>0</v>
      </c>
      <c r="BF22" s="1290">
        <f t="shared" si="14"/>
        <v>0</v>
      </c>
      <c r="BG22" s="1302">
        <f t="shared" si="52"/>
        <v>0</v>
      </c>
      <c r="BH22" s="1295">
        <f t="shared" si="53"/>
        <v>0</v>
      </c>
      <c r="BI22" s="1301">
        <f>VLOOKUP(A22,chemlist2,15,FALSE)</f>
        <v>0</v>
      </c>
      <c r="BJ22" s="1303">
        <f t="shared" si="15"/>
      </c>
      <c r="BK22" s="1304"/>
      <c r="BL22" s="1305"/>
      <c r="BM22" s="1291">
        <f t="shared" si="55"/>
      </c>
      <c r="BN22" s="1306"/>
      <c r="BR22" s="218">
        <f>Z22</f>
        <v>0</v>
      </c>
      <c r="BS22" s="138">
        <f>VLOOKUP(A22,chemlist2,14,FALSE)</f>
        <v>0</v>
      </c>
      <c r="BT22" s="138">
        <f>VLOOKUP(A22,chemlist2,9,FALSE)</f>
        <v>1</v>
      </c>
      <c r="BU22" s="220">
        <f>IF(ISERROR(70*75*1000/(BS22*2*30*BT22*1)),,70*75*1000/(BS22*2*30*BT22*1))</f>
        <v>0</v>
      </c>
      <c r="BV22" s="220">
        <f>IF(ISERROR(BR22/BU22),,BR22/BU22)</f>
        <v>0</v>
      </c>
      <c r="BW22" s="1287">
        <f t="shared" si="61"/>
        <v>0</v>
      </c>
      <c r="BZ22" s="1291">
        <v>1.1E-06</v>
      </c>
      <c r="CA22" s="1307">
        <f t="shared" si="16"/>
        <v>400</v>
      </c>
      <c r="CB22" s="1308">
        <f t="shared" si="17"/>
        <v>0</v>
      </c>
      <c r="CC22" s="1294">
        <f t="shared" si="18"/>
        <v>0</v>
      </c>
      <c r="CD22" s="1308">
        <f t="shared" si="62"/>
        <v>0</v>
      </c>
      <c r="CE22" s="1293">
        <f t="shared" si="19"/>
        <v>0</v>
      </c>
      <c r="CF22" s="1309">
        <f t="shared" si="20"/>
        <v>0</v>
      </c>
    </row>
    <row r="23" spans="1:84" ht="12.75">
      <c r="A23" s="8" t="str">
        <f>MainForm!B20</f>
        <v>AR_EC &gt;8-10</v>
      </c>
      <c r="B23" s="80">
        <f>MainForm!G20</f>
        <v>1</v>
      </c>
      <c r="C23" s="37">
        <f aca="true" t="shared" si="63" ref="C23:C45">B23/$B$46</f>
        <v>0.0011832219132698338</v>
      </c>
      <c r="D23" s="51">
        <f t="shared" si="21"/>
        <v>59.16109566349194</v>
      </c>
      <c r="E23" s="62">
        <f t="shared" si="22"/>
        <v>9</v>
      </c>
      <c r="F23" s="46">
        <f t="shared" si="23"/>
        <v>120000</v>
      </c>
      <c r="G23" s="46">
        <f t="shared" si="24"/>
        <v>65</v>
      </c>
      <c r="H23" s="46">
        <f t="shared" si="25"/>
        <v>0.48</v>
      </c>
      <c r="I23" s="46">
        <f t="shared" si="26"/>
        <v>1580</v>
      </c>
      <c r="J23" s="46">
        <f t="shared" si="27"/>
        <v>0.0004930091305290996</v>
      </c>
      <c r="K23" s="46">
        <f t="shared" si="28"/>
        <v>870000</v>
      </c>
      <c r="L23" s="38">
        <f t="shared" si="29"/>
        <v>7.25</v>
      </c>
      <c r="M23" s="39">
        <f aca="true" t="shared" si="64" ref="M23:M34">P23*F23</f>
        <v>211.50838505136224</v>
      </c>
      <c r="N23" s="40">
        <f aca="true" t="shared" si="65" ref="N23:N34">R23*F23</f>
        <v>211.01890366261534</v>
      </c>
      <c r="O23" s="2">
        <f t="shared" si="30"/>
        <v>0.00024255046398001764</v>
      </c>
      <c r="P23" s="4">
        <f aca="true" t="shared" si="66" ref="P23:P34">J23/J$46</f>
        <v>0.0017625698754280188</v>
      </c>
      <c r="Q23" s="14">
        <f aca="true" t="shared" si="67" ref="Q23:Q34">P23*G23</f>
        <v>0.11456704190282122</v>
      </c>
      <c r="R23" s="5">
        <f t="shared" si="31"/>
        <v>0.0017584908638551278</v>
      </c>
      <c r="S23" s="14">
        <f aca="true" t="shared" si="68" ref="S23:S34">R23*G23</f>
        <v>0.1143019061505833</v>
      </c>
      <c r="T23" s="18">
        <f t="shared" si="32"/>
        <v>32.47754483063897</v>
      </c>
      <c r="U23" s="5">
        <f t="shared" si="6"/>
        <v>0.1143019061505833</v>
      </c>
      <c r="V23" s="5">
        <f t="shared" si="33"/>
        <v>0.054864914952279985</v>
      </c>
      <c r="W23" s="5">
        <f>U23*InputOutput!$U$10*I23</f>
        <v>0.18059701171792164</v>
      </c>
      <c r="X23" s="5">
        <f t="shared" si="7"/>
        <v>986.7004968475802</v>
      </c>
      <c r="Y23" s="32">
        <f>InputOutput!$U$11</f>
        <v>20</v>
      </c>
      <c r="Z23" s="41">
        <f aca="true" t="shared" si="69" ref="Z23:Z34">U23/Y23*1000</f>
        <v>5.7150953075291655</v>
      </c>
      <c r="AA23" s="42">
        <f aca="true" t="shared" si="70" ref="AA23:AA45">Z23/$Z$46</f>
        <v>0.006060883668528926</v>
      </c>
      <c r="AB23" s="1271">
        <f t="shared" si="34"/>
        <v>0.1</v>
      </c>
      <c r="AC23" s="1272">
        <f t="shared" si="35"/>
        <v>2</v>
      </c>
      <c r="AD23" s="41">
        <f t="shared" si="36"/>
        <v>0.00125</v>
      </c>
      <c r="AE23" s="41">
        <f t="shared" si="37"/>
        <v>0.007143869134411457</v>
      </c>
      <c r="AF23" s="43">
        <f aca="true" t="shared" si="71" ref="AF23:AF45">AE23/$AE$46</f>
        <v>0.004518342346330627</v>
      </c>
      <c r="AG23" s="1273">
        <f>IF($C$6-$O$49&gt;0,U23*InputOutput!$U$7,U23*(InputOutput!$U$6-$O$49))</f>
        <v>0.03429057184517499</v>
      </c>
      <c r="AH23" s="1274">
        <f>IF($C$6-$O$49&gt;0,V23*(InputOutput!$U$8-$O$49),0)</f>
        <v>0.002215377070314416</v>
      </c>
      <c r="AI23" s="31">
        <f>W23*InputOutput!$U$9</f>
        <v>0.27089551757688246</v>
      </c>
      <c r="AJ23" s="1275">
        <f aca="true" t="shared" si="72" ref="AJ23:AJ32">X23*$O$49</f>
        <v>88.42932496687207</v>
      </c>
      <c r="AK23" s="1276">
        <f t="shared" si="38"/>
        <v>0.0003864304355528035</v>
      </c>
      <c r="AL23" s="1276">
        <f t="shared" si="39"/>
        <v>2.4965729065721408E-05</v>
      </c>
      <c r="AM23" s="1276">
        <f t="shared" si="40"/>
        <v>0.003052800440867148</v>
      </c>
      <c r="AN23" s="1277">
        <f t="shared" si="41"/>
        <v>0.9965358033945144</v>
      </c>
      <c r="AO23" s="1278">
        <f t="shared" si="42"/>
        <v>1</v>
      </c>
      <c r="AP23" s="1086">
        <f t="shared" si="43"/>
        <v>118.404</v>
      </c>
      <c r="AQ23" s="1279">
        <f t="shared" si="44"/>
        <v>0.4996545358559841</v>
      </c>
      <c r="AR23" s="1279">
        <f t="shared" si="45"/>
        <v>0.00024311308626593362</v>
      </c>
      <c r="AS23" s="1086"/>
      <c r="AT23" s="1086"/>
      <c r="AW23" s="25" t="str">
        <f t="shared" si="12"/>
        <v>AR_EC &gt;8-10</v>
      </c>
      <c r="AX23" s="1280">
        <f t="shared" si="46"/>
        <v>59.16109566349194</v>
      </c>
      <c r="AY23" s="31">
        <f t="shared" si="47"/>
        <v>54864.914952279985</v>
      </c>
      <c r="AZ23" s="31">
        <f t="shared" si="48"/>
        <v>1000</v>
      </c>
      <c r="BA23" s="1279">
        <f t="shared" si="49"/>
        <v>54.86491495227999</v>
      </c>
      <c r="BB23" s="31">
        <f>Soil_vapor!C20</f>
        <v>40</v>
      </c>
      <c r="BC23" s="31">
        <f t="shared" si="50"/>
        <v>54.86491495227999</v>
      </c>
      <c r="BD23" s="292">
        <f t="shared" si="51"/>
        <v>0.114</v>
      </c>
      <c r="BE23" s="31">
        <f t="shared" si="13"/>
        <v>0.30079448986995605</v>
      </c>
      <c r="BF23" s="43">
        <f aca="true" t="shared" si="73" ref="BF23:BF45">BE23/$BE$46</f>
        <v>0.0014651335051458023</v>
      </c>
      <c r="BG23" s="1281">
        <f t="shared" si="52"/>
        <v>0.30079448986995605</v>
      </c>
      <c r="BH23" s="1276">
        <f t="shared" si="53"/>
        <v>0.0014651335051458023</v>
      </c>
      <c r="BI23" s="292">
        <f t="shared" si="54"/>
        <v>0</v>
      </c>
      <c r="BJ23" s="1207">
        <f t="shared" si="15"/>
      </c>
      <c r="BK23" s="361"/>
      <c r="BL23" s="34"/>
      <c r="BM23" s="1273">
        <f t="shared" si="55"/>
      </c>
      <c r="BN23" s="36"/>
      <c r="BR23" s="4">
        <f t="shared" si="56"/>
        <v>5.7150953075291655</v>
      </c>
      <c r="BS23" s="47">
        <f t="shared" si="57"/>
        <v>0</v>
      </c>
      <c r="BT23" s="47">
        <f t="shared" si="58"/>
        <v>2</v>
      </c>
      <c r="BU23" s="5">
        <f t="shared" si="59"/>
        <v>0</v>
      </c>
      <c r="BV23" s="5">
        <f t="shared" si="60"/>
        <v>0</v>
      </c>
      <c r="BW23" s="42">
        <f t="shared" si="61"/>
        <v>0</v>
      </c>
      <c r="BZ23" s="1273">
        <v>0.006</v>
      </c>
      <c r="CA23" s="15">
        <f t="shared" si="16"/>
        <v>120</v>
      </c>
      <c r="CB23" s="1282">
        <f t="shared" si="17"/>
        <v>0.0017625698754280188</v>
      </c>
      <c r="CC23" s="1275">
        <f t="shared" si="18"/>
        <v>52755.53870906509</v>
      </c>
      <c r="CD23" s="1282">
        <f t="shared" si="62"/>
        <v>0.0017584908638551278</v>
      </c>
      <c r="CE23" s="31">
        <f t="shared" si="19"/>
        <v>52639.86135152968</v>
      </c>
      <c r="CF23" s="1283">
        <f t="shared" si="20"/>
        <v>54864.914952279985</v>
      </c>
    </row>
    <row r="24" spans="1:84" ht="12.75">
      <c r="A24" s="8" t="str">
        <f>MainForm!B21</f>
        <v>AR_EC &gt;10-12</v>
      </c>
      <c r="B24" s="80">
        <f>MainForm!G21</f>
        <v>24</v>
      </c>
      <c r="C24" s="37">
        <f t="shared" si="63"/>
        <v>0.02839732591847601</v>
      </c>
      <c r="D24" s="51">
        <f t="shared" si="21"/>
        <v>1419.8662959238065</v>
      </c>
      <c r="E24" s="62">
        <f t="shared" si="22"/>
        <v>10</v>
      </c>
      <c r="F24" s="46">
        <f t="shared" si="23"/>
        <v>130000</v>
      </c>
      <c r="G24" s="46">
        <f t="shared" si="24"/>
        <v>25</v>
      </c>
      <c r="H24" s="46">
        <f t="shared" si="25"/>
        <v>0.14</v>
      </c>
      <c r="I24" s="46">
        <f t="shared" si="26"/>
        <v>2510</v>
      </c>
      <c r="J24" s="46">
        <f t="shared" si="27"/>
        <v>0.010922048430183127</v>
      </c>
      <c r="K24" s="46">
        <f t="shared" si="28"/>
        <v>900000</v>
      </c>
      <c r="L24" s="38">
        <f t="shared" si="29"/>
        <v>6.923076923076923</v>
      </c>
      <c r="M24" s="39">
        <f t="shared" si="64"/>
        <v>5076.201241232693</v>
      </c>
      <c r="N24" s="40">
        <f t="shared" si="65"/>
        <v>5072.835085993418</v>
      </c>
      <c r="O24" s="2">
        <f t="shared" si="30"/>
        <v>0.0056364834288815755</v>
      </c>
      <c r="P24" s="4">
        <f t="shared" si="66"/>
        <v>0.0390477018556361</v>
      </c>
      <c r="Q24" s="14">
        <f t="shared" si="67"/>
        <v>0.9761925463909025</v>
      </c>
      <c r="R24" s="5">
        <f t="shared" si="31"/>
        <v>0.039021808353795526</v>
      </c>
      <c r="S24" s="14">
        <f t="shared" si="68"/>
        <v>0.9755452088448882</v>
      </c>
      <c r="T24" s="18">
        <f t="shared" si="32"/>
        <v>521.6005691334516</v>
      </c>
      <c r="U24" s="5">
        <f t="shared" si="6"/>
        <v>0.9755452088448882</v>
      </c>
      <c r="V24" s="5">
        <f t="shared" si="33"/>
        <v>0.13657632923828436</v>
      </c>
      <c r="W24" s="5">
        <f>U24*InputOutput!$U$10*I24</f>
        <v>2.448618474200669</v>
      </c>
      <c r="X24" s="5">
        <f t="shared" si="7"/>
        <v>23720.002392668608</v>
      </c>
      <c r="Y24" s="32">
        <f>InputOutput!$U$11</f>
        <v>20</v>
      </c>
      <c r="Z24" s="41">
        <f t="shared" si="69"/>
        <v>48.77726044224441</v>
      </c>
      <c r="AA24" s="42">
        <f t="shared" si="70"/>
        <v>0.05172849887918907</v>
      </c>
      <c r="AB24" s="1271">
        <f t="shared" si="34"/>
        <v>0.02</v>
      </c>
      <c r="AC24" s="1272">
        <f t="shared" si="35"/>
        <v>2</v>
      </c>
      <c r="AD24" s="41">
        <f t="shared" si="36"/>
        <v>0.00625</v>
      </c>
      <c r="AE24" s="41">
        <f t="shared" si="37"/>
        <v>0.3048578777640276</v>
      </c>
      <c r="AF24" s="43">
        <f t="shared" si="71"/>
        <v>0.1928159982772658</v>
      </c>
      <c r="AG24" s="1273">
        <f>IF($C$6-$O$49&gt;0,U24*InputOutput!$U$7,U24*(InputOutput!$U$6-$O$49))</f>
        <v>0.29266356265346644</v>
      </c>
      <c r="AH24" s="1274">
        <f>IF($C$6-$O$49&gt;0,V24*(InputOutput!$U$8-$O$49),0)</f>
        <v>0.005514782414323854</v>
      </c>
      <c r="AI24" s="31">
        <f>W24*InputOutput!$U$9</f>
        <v>3.6729277113010035</v>
      </c>
      <c r="AJ24" s="1275">
        <f t="shared" si="72"/>
        <v>2125.8160976889544</v>
      </c>
      <c r="AK24" s="1276">
        <f t="shared" si="38"/>
        <v>0.00013741446194192775</v>
      </c>
      <c r="AL24" s="1276">
        <f t="shared" si="39"/>
        <v>2.589358413190703E-06</v>
      </c>
      <c r="AM24" s="1276">
        <f t="shared" si="40"/>
        <v>0.0017245514973711932</v>
      </c>
      <c r="AN24" s="1277">
        <f t="shared" si="41"/>
        <v>0.9981354446822738</v>
      </c>
      <c r="AO24" s="1278">
        <f t="shared" si="42"/>
        <v>1</v>
      </c>
      <c r="AP24" s="1086">
        <f t="shared" si="43"/>
        <v>68.05333333333334</v>
      </c>
      <c r="AQ24" s="1279">
        <f t="shared" si="44"/>
        <v>20.864022765338063</v>
      </c>
      <c r="AR24" s="1279">
        <f t="shared" si="45"/>
        <v>0.005640223601369659</v>
      </c>
      <c r="AS24" s="1086"/>
      <c r="AT24" s="1086"/>
      <c r="AW24" s="25" t="str">
        <f t="shared" si="12"/>
        <v>AR_EC &gt;10-12</v>
      </c>
      <c r="AX24" s="1280">
        <f t="shared" si="46"/>
        <v>1419.8662959238065</v>
      </c>
      <c r="AY24" s="31">
        <f t="shared" si="47"/>
        <v>136576.32923828435</v>
      </c>
      <c r="AZ24" s="31">
        <f t="shared" si="48"/>
        <v>1000</v>
      </c>
      <c r="BA24" s="1279">
        <f t="shared" si="49"/>
        <v>136.57632923828436</v>
      </c>
      <c r="BB24" s="31">
        <f>Soil_vapor!C21</f>
        <v>40</v>
      </c>
      <c r="BC24" s="31">
        <f t="shared" si="50"/>
        <v>136.57632923828436</v>
      </c>
      <c r="BD24" s="292">
        <f t="shared" si="51"/>
        <v>0.00086</v>
      </c>
      <c r="BE24" s="31">
        <f t="shared" si="13"/>
        <v>99.25605322549737</v>
      </c>
      <c r="BF24" s="43">
        <f t="shared" si="73"/>
        <v>0.4834642058505888</v>
      </c>
      <c r="BG24" s="1281">
        <f t="shared" si="52"/>
        <v>99.25605322549737</v>
      </c>
      <c r="BH24" s="1276">
        <f t="shared" si="53"/>
        <v>0.4834642058505888</v>
      </c>
      <c r="BI24" s="292">
        <f t="shared" si="54"/>
        <v>0</v>
      </c>
      <c r="BJ24" s="1207">
        <f t="shared" si="15"/>
      </c>
      <c r="BK24" s="361"/>
      <c r="BL24" s="34"/>
      <c r="BM24" s="1273">
        <f t="shared" si="55"/>
      </c>
      <c r="BN24" s="36"/>
      <c r="BR24" s="4">
        <f t="shared" si="56"/>
        <v>48.77726044224441</v>
      </c>
      <c r="BS24" s="47">
        <f t="shared" si="57"/>
        <v>0</v>
      </c>
      <c r="BT24" s="47">
        <f t="shared" si="58"/>
        <v>2</v>
      </c>
      <c r="BU24" s="5">
        <f t="shared" si="59"/>
        <v>0</v>
      </c>
      <c r="BV24" s="5">
        <f t="shared" si="60"/>
        <v>0</v>
      </c>
      <c r="BW24" s="42">
        <f t="shared" si="61"/>
        <v>0</v>
      </c>
      <c r="BZ24" s="1273">
        <v>0.00094</v>
      </c>
      <c r="CA24" s="15">
        <f t="shared" si="16"/>
        <v>130</v>
      </c>
      <c r="CB24" s="1282">
        <f t="shared" si="17"/>
        <v>0.0390477018556361</v>
      </c>
      <c r="CC24" s="1275">
        <f t="shared" si="18"/>
        <v>198360.8255460847</v>
      </c>
      <c r="CD24" s="1282">
        <f t="shared" si="62"/>
        <v>0.039021808353795526</v>
      </c>
      <c r="CE24" s="31">
        <f t="shared" si="19"/>
        <v>198253.43535102</v>
      </c>
      <c r="CF24" s="1283">
        <f t="shared" si="20"/>
        <v>136576.32923828435</v>
      </c>
    </row>
    <row r="25" spans="1:84" ht="12.75">
      <c r="A25" s="8" t="str">
        <f>MainForm!B22</f>
        <v>AR_EC &gt;12-16</v>
      </c>
      <c r="B25" s="80">
        <f>MainForm!G22</f>
        <v>55</v>
      </c>
      <c r="C25" s="37">
        <f t="shared" si="63"/>
        <v>0.06507720522984085</v>
      </c>
      <c r="D25" s="51">
        <f t="shared" si="21"/>
        <v>3253.8602614920565</v>
      </c>
      <c r="E25" s="62">
        <f t="shared" si="22"/>
        <v>14</v>
      </c>
      <c r="F25" s="46">
        <f t="shared" si="23"/>
        <v>150000</v>
      </c>
      <c r="G25" s="46">
        <f t="shared" si="24"/>
        <v>5.8</v>
      </c>
      <c r="H25" s="46">
        <f t="shared" si="25"/>
        <v>0.053</v>
      </c>
      <c r="I25" s="46">
        <f t="shared" si="26"/>
        <v>5010</v>
      </c>
      <c r="J25" s="46">
        <f t="shared" si="27"/>
        <v>0.021692401743280375</v>
      </c>
      <c r="K25" s="46">
        <f t="shared" si="28"/>
        <v>1000000</v>
      </c>
      <c r="L25" s="38">
        <f t="shared" si="29"/>
        <v>6.666666666666667</v>
      </c>
      <c r="M25" s="39">
        <f t="shared" si="64"/>
        <v>11632.961177824922</v>
      </c>
      <c r="N25" s="40">
        <f t="shared" si="65"/>
        <v>11638.630491959448</v>
      </c>
      <c r="O25" s="2">
        <f t="shared" si="30"/>
        <v>0.011638630491959448</v>
      </c>
      <c r="P25" s="4">
        <f t="shared" si="66"/>
        <v>0.07755307451883281</v>
      </c>
      <c r="Q25" s="14">
        <f t="shared" si="67"/>
        <v>0.44980783220923026</v>
      </c>
      <c r="R25" s="5">
        <f t="shared" si="31"/>
        <v>0.07759086994639632</v>
      </c>
      <c r="S25" s="14">
        <f t="shared" si="68"/>
        <v>0.4500270456890986</v>
      </c>
      <c r="T25" s="18">
        <f t="shared" si="32"/>
        <v>623.9911827241351</v>
      </c>
      <c r="U25" s="5">
        <f t="shared" si="6"/>
        <v>0.4500270456890986</v>
      </c>
      <c r="V25" s="5">
        <f t="shared" si="33"/>
        <v>0.023851433421522225</v>
      </c>
      <c r="W25" s="5">
        <f>U25*InputOutput!$U$10*I25</f>
        <v>2.2546354989023842</v>
      </c>
      <c r="X25" s="5">
        <f t="shared" si="7"/>
        <v>54420.91817234804</v>
      </c>
      <c r="Y25" s="32">
        <f>InputOutput!$U$11</f>
        <v>20</v>
      </c>
      <c r="Z25" s="41">
        <f t="shared" si="69"/>
        <v>22.50135228445493</v>
      </c>
      <c r="AA25" s="42">
        <f t="shared" si="70"/>
        <v>0.023862782900750945</v>
      </c>
      <c r="AB25" s="1271">
        <f t="shared" si="34"/>
        <v>0.05</v>
      </c>
      <c r="AC25" s="1272">
        <f t="shared" si="35"/>
        <v>1</v>
      </c>
      <c r="AD25" s="41">
        <f t="shared" si="36"/>
        <v>0.00125</v>
      </c>
      <c r="AE25" s="41">
        <f t="shared" si="37"/>
        <v>0.028126690355568664</v>
      </c>
      <c r="AF25" s="43">
        <f t="shared" si="71"/>
        <v>0.017789521854975166</v>
      </c>
      <c r="AG25" s="1273">
        <f>IF($C$6-$O$49&gt;0,U25*InputOutput!$U$7,U25*(InputOutput!$U$6-$O$49))</f>
        <v>0.13500811370672958</v>
      </c>
      <c r="AH25" s="1274">
        <f>IF($C$6-$O$49&gt;0,V25*(InputOutput!$U$8-$O$49),0)</f>
        <v>0.000963091234938211</v>
      </c>
      <c r="AI25" s="31">
        <f>W25*InputOutput!$U$9</f>
        <v>3.381953248353576</v>
      </c>
      <c r="AJ25" s="1275">
        <f t="shared" si="72"/>
        <v>4877.27033018968</v>
      </c>
      <c r="AK25" s="1276">
        <f t="shared" si="38"/>
        <v>2.7661129035519955E-05</v>
      </c>
      <c r="AL25" s="1276">
        <f t="shared" si="39"/>
        <v>1.973228881671E-07</v>
      </c>
      <c r="AM25" s="1276">
        <f t="shared" si="40"/>
        <v>0.000692911282339775</v>
      </c>
      <c r="AN25" s="1277">
        <f t="shared" si="41"/>
        <v>0.9992792302657365</v>
      </c>
      <c r="AO25" s="1278">
        <f t="shared" si="42"/>
        <v>1</v>
      </c>
      <c r="AP25" s="1086">
        <f t="shared" si="43"/>
        <v>30.244641333333334</v>
      </c>
      <c r="AQ25" s="1279">
        <f t="shared" si="44"/>
        <v>107.58468667657502</v>
      </c>
      <c r="AR25" s="1279">
        <f t="shared" si="45"/>
        <v>0.011632961177824922</v>
      </c>
      <c r="AS25" s="1086"/>
      <c r="AT25" s="1086"/>
      <c r="AW25" s="25" t="str">
        <f t="shared" si="12"/>
        <v>AR_EC &gt;12-16</v>
      </c>
      <c r="AX25" s="1280">
        <f t="shared" si="46"/>
        <v>3253.8602614920565</v>
      </c>
      <c r="AY25" s="31">
        <f t="shared" si="47"/>
        <v>23851.433421522226</v>
      </c>
      <c r="AZ25" s="31">
        <f t="shared" si="48"/>
        <v>1000</v>
      </c>
      <c r="BA25" s="1279">
        <f t="shared" si="49"/>
        <v>23.851433421522227</v>
      </c>
      <c r="BB25" s="31">
        <f>Soil_vapor!C22</f>
        <v>0</v>
      </c>
      <c r="BC25" s="31">
        <f t="shared" si="50"/>
        <v>23.851433421522227</v>
      </c>
      <c r="BD25" s="292">
        <f t="shared" si="51"/>
        <v>0.05</v>
      </c>
      <c r="BE25" s="31">
        <f t="shared" si="13"/>
        <v>0.29814291776902785</v>
      </c>
      <c r="BF25" s="43">
        <f t="shared" si="73"/>
        <v>0.0014522180188014239</v>
      </c>
      <c r="BG25" s="1281">
        <f t="shared" si="52"/>
        <v>0.29814291776902785</v>
      </c>
      <c r="BH25" s="1276">
        <f t="shared" si="53"/>
        <v>0.0014522180188014239</v>
      </c>
      <c r="BI25" s="292">
        <f t="shared" si="54"/>
        <v>0</v>
      </c>
      <c r="BJ25" s="1207">
        <f t="shared" si="15"/>
      </c>
      <c r="BK25" s="361"/>
      <c r="BL25" s="34"/>
      <c r="BM25" s="1273">
        <f t="shared" si="55"/>
      </c>
      <c r="BN25" s="36"/>
      <c r="BR25" s="4">
        <f t="shared" si="56"/>
        <v>22.50135228445493</v>
      </c>
      <c r="BS25" s="47">
        <f t="shared" si="57"/>
        <v>0</v>
      </c>
      <c r="BT25" s="47">
        <f t="shared" si="58"/>
        <v>1</v>
      </c>
      <c r="BU25" s="5">
        <f t="shared" si="59"/>
        <v>0</v>
      </c>
      <c r="BV25" s="5">
        <f t="shared" si="60"/>
        <v>0</v>
      </c>
      <c r="BW25" s="42">
        <f t="shared" si="61"/>
        <v>0</v>
      </c>
      <c r="BZ25" s="1273">
        <v>6E-05</v>
      </c>
      <c r="CA25" s="15">
        <f t="shared" si="16"/>
        <v>150</v>
      </c>
      <c r="CB25" s="1282">
        <f t="shared" si="17"/>
        <v>0.07755307451883281</v>
      </c>
      <c r="CC25" s="1275">
        <f t="shared" si="18"/>
        <v>29015.546289985796</v>
      </c>
      <c r="CD25" s="1282">
        <f t="shared" si="62"/>
        <v>0.07759086994639632</v>
      </c>
      <c r="CE25" s="31">
        <f t="shared" si="19"/>
        <v>29033.223317185246</v>
      </c>
      <c r="CF25" s="1283">
        <f t="shared" si="20"/>
        <v>23851.433421522226</v>
      </c>
    </row>
    <row r="26" spans="1:84" ht="12.75">
      <c r="A26" s="8" t="str">
        <f>MainForm!B23</f>
        <v>AR_EC &gt;16-21</v>
      </c>
      <c r="B26" s="80">
        <f>MainForm!G23</f>
        <v>145</v>
      </c>
      <c r="C26" s="37">
        <f t="shared" si="63"/>
        <v>0.1715671774241259</v>
      </c>
      <c r="D26" s="51">
        <f t="shared" si="21"/>
        <v>8578.35887120633</v>
      </c>
      <c r="E26" s="62">
        <f t="shared" si="22"/>
        <v>19</v>
      </c>
      <c r="F26" s="46">
        <f t="shared" si="23"/>
        <v>190000</v>
      </c>
      <c r="G26" s="46">
        <f t="shared" si="24"/>
        <v>0.51</v>
      </c>
      <c r="H26" s="46">
        <f t="shared" si="25"/>
        <v>0.013</v>
      </c>
      <c r="I26" s="46">
        <f t="shared" si="26"/>
        <v>15800</v>
      </c>
      <c r="J26" s="46">
        <f t="shared" si="27"/>
        <v>0.04514925721687542</v>
      </c>
      <c r="K26" s="46">
        <f t="shared" si="28"/>
        <v>1160000</v>
      </c>
      <c r="L26" s="38">
        <f t="shared" si="29"/>
        <v>6.105263157894737</v>
      </c>
      <c r="M26" s="39">
        <f t="shared" si="64"/>
        <v>30668.715832447517</v>
      </c>
      <c r="N26" s="40">
        <f t="shared" si="65"/>
        <v>30701.087513056584</v>
      </c>
      <c r="O26" s="2">
        <f t="shared" si="30"/>
        <v>0.026466454752634986</v>
      </c>
      <c r="P26" s="4">
        <f t="shared" si="66"/>
        <v>0.16141429385498693</v>
      </c>
      <c r="Q26" s="14">
        <f t="shared" si="67"/>
        <v>0.08232128986604334</v>
      </c>
      <c r="R26" s="5">
        <f t="shared" si="31"/>
        <v>0.16158467112135044</v>
      </c>
      <c r="S26" s="14">
        <f t="shared" si="68"/>
        <v>0.08240818227188873</v>
      </c>
      <c r="T26" s="61">
        <f t="shared" si="32"/>
        <v>536.1096783938754</v>
      </c>
      <c r="U26" s="5">
        <f t="shared" si="6"/>
        <v>0.08240818227188873</v>
      </c>
      <c r="V26" s="5">
        <f t="shared" si="33"/>
        <v>0.0010713063695345535</v>
      </c>
      <c r="W26" s="5">
        <f>U26*InputOutput!$U$10*I26</f>
        <v>1.302049279895842</v>
      </c>
      <c r="X26" s="18">
        <f t="shared" si="7"/>
        <v>143554.80848922976</v>
      </c>
      <c r="Y26" s="32">
        <f>InputOutput!$U$11</f>
        <v>20</v>
      </c>
      <c r="Z26" s="41">
        <f t="shared" si="69"/>
        <v>4.1204091135944365</v>
      </c>
      <c r="AA26" s="42">
        <f t="shared" si="70"/>
        <v>0.004369711957618971</v>
      </c>
      <c r="AB26" s="1271">
        <f t="shared" si="34"/>
        <v>0.03</v>
      </c>
      <c r="AC26" s="1272">
        <f t="shared" si="35"/>
        <v>1</v>
      </c>
      <c r="AD26" s="41">
        <f t="shared" si="36"/>
        <v>0.0020833333333333333</v>
      </c>
      <c r="AE26" s="41">
        <f t="shared" si="37"/>
        <v>0.008584185653321743</v>
      </c>
      <c r="AF26" s="43">
        <f t="shared" si="71"/>
        <v>0.0054293113180554995</v>
      </c>
      <c r="AG26" s="1273">
        <f>IF($C$6-$O$49&gt;0,U26*InputOutput!$U$7,U26*(InputOutput!$U$6-$O$49))</f>
        <v>0.024722454681566617</v>
      </c>
      <c r="AH26" s="1274">
        <f>IF($C$6-$O$49&gt;0,V26*(InputOutput!$U$8-$O$49),0)</f>
        <v>4.3258019599828154E-05</v>
      </c>
      <c r="AI26" s="31">
        <f>W26*InputOutput!$U$9</f>
        <v>1.9530739198437632</v>
      </c>
      <c r="AJ26" s="1275">
        <f t="shared" si="72"/>
        <v>12865.560371165144</v>
      </c>
      <c r="AK26" s="1276">
        <f t="shared" si="38"/>
        <v>1.9213041590831237E-06</v>
      </c>
      <c r="AL26" s="1276">
        <f t="shared" si="39"/>
        <v>3.361794532191755E-09</v>
      </c>
      <c r="AM26" s="1276">
        <f t="shared" si="40"/>
        <v>0.0001517830285675668</v>
      </c>
      <c r="AN26" s="1277">
        <f t="shared" si="41"/>
        <v>0.9998462923054787</v>
      </c>
      <c r="AO26" s="1278">
        <f t="shared" si="42"/>
        <v>0.9999999999999999</v>
      </c>
      <c r="AP26" s="1086">
        <f t="shared" si="43"/>
        <v>8.160574600000002</v>
      </c>
      <c r="AQ26" s="1279">
        <f t="shared" si="44"/>
        <v>1051.1954478311281</v>
      </c>
      <c r="AR26" s="1279">
        <f t="shared" si="45"/>
        <v>0.026438548131420273</v>
      </c>
      <c r="AS26" s="1086"/>
      <c r="AT26" s="1086"/>
      <c r="AW26" s="25" t="str">
        <f t="shared" si="12"/>
        <v>AR_EC &gt;16-21</v>
      </c>
      <c r="AX26" s="1280">
        <f t="shared" si="46"/>
        <v>8578.35887120633</v>
      </c>
      <c r="AY26" s="31">
        <f t="shared" si="47"/>
        <v>1071.3063695345536</v>
      </c>
      <c r="AZ26" s="31">
        <f t="shared" si="48"/>
        <v>1000</v>
      </c>
      <c r="BA26" s="1279">
        <f t="shared" si="49"/>
        <v>1.0713063695345535</v>
      </c>
      <c r="BB26" s="31">
        <f>Soil_vapor!C23</f>
        <v>0</v>
      </c>
      <c r="BC26" s="31">
        <f t="shared" si="50"/>
        <v>1.0713063695345535</v>
      </c>
      <c r="BD26" s="292">
        <f t="shared" si="51"/>
        <v>0</v>
      </c>
      <c r="BE26" s="31">
        <f t="shared" si="13"/>
        <v>0</v>
      </c>
      <c r="BF26" s="43">
        <f t="shared" si="73"/>
        <v>0</v>
      </c>
      <c r="BG26" s="1281">
        <f t="shared" si="52"/>
        <v>0</v>
      </c>
      <c r="BH26" s="1276">
        <f t="shared" si="53"/>
        <v>0</v>
      </c>
      <c r="BI26" s="292">
        <f t="shared" si="54"/>
        <v>0</v>
      </c>
      <c r="BJ26" s="1207">
        <f t="shared" si="15"/>
      </c>
      <c r="BK26" s="361"/>
      <c r="BL26" s="34"/>
      <c r="BM26" s="1273">
        <f t="shared" si="55"/>
      </c>
      <c r="BN26" s="36"/>
      <c r="BR26" s="4">
        <f t="shared" si="56"/>
        <v>4.1204091135944365</v>
      </c>
      <c r="BS26" s="47">
        <f t="shared" si="57"/>
        <v>0</v>
      </c>
      <c r="BT26" s="47">
        <f t="shared" si="58"/>
        <v>1</v>
      </c>
      <c r="BU26" s="5">
        <f t="shared" si="59"/>
        <v>0</v>
      </c>
      <c r="BV26" s="5">
        <f t="shared" si="60"/>
        <v>0</v>
      </c>
      <c r="BW26" s="42">
        <f t="shared" si="61"/>
        <v>0</v>
      </c>
      <c r="BZ26" s="1273">
        <v>2.3E-06</v>
      </c>
      <c r="CA26" s="15">
        <f t="shared" si="16"/>
        <v>190</v>
      </c>
      <c r="CB26" s="1282">
        <f t="shared" si="17"/>
        <v>0.16141429385498693</v>
      </c>
      <c r="CC26" s="1275">
        <f t="shared" si="18"/>
        <v>2932.328693245533</v>
      </c>
      <c r="CD26" s="1282">
        <f t="shared" si="62"/>
        <v>0.16158467112135044</v>
      </c>
      <c r="CE26" s="31">
        <f t="shared" si="19"/>
        <v>2935.7814335980256</v>
      </c>
      <c r="CF26" s="1283">
        <f t="shared" si="20"/>
        <v>1071.3063695345536</v>
      </c>
    </row>
    <row r="27" spans="1:84" ht="12.75">
      <c r="A27" s="112" t="str">
        <f>MainForm!B24</f>
        <v>AR_EC &gt;21-34</v>
      </c>
      <c r="B27" s="1534">
        <f>MainForm!G24</f>
        <v>0</v>
      </c>
      <c r="C27" s="212">
        <f t="shared" si="63"/>
        <v>0</v>
      </c>
      <c r="D27" s="213">
        <f t="shared" si="21"/>
        <v>0</v>
      </c>
      <c r="E27" s="214">
        <f t="shared" si="22"/>
        <v>28</v>
      </c>
      <c r="F27" s="215">
        <f t="shared" si="23"/>
        <v>240000</v>
      </c>
      <c r="G27" s="215">
        <f t="shared" si="24"/>
        <v>0.0066</v>
      </c>
      <c r="H27" s="215">
        <f t="shared" si="25"/>
        <v>0.00067</v>
      </c>
      <c r="I27" s="215">
        <f t="shared" si="26"/>
        <v>126000</v>
      </c>
      <c r="J27" s="215">
        <f t="shared" si="27"/>
        <v>0</v>
      </c>
      <c r="K27" s="215">
        <f t="shared" si="28"/>
        <v>1300000</v>
      </c>
      <c r="L27" s="216">
        <f t="shared" si="29"/>
        <v>0</v>
      </c>
      <c r="M27" s="1284">
        <f t="shared" si="64"/>
        <v>0</v>
      </c>
      <c r="N27" s="1285">
        <f t="shared" si="65"/>
        <v>0</v>
      </c>
      <c r="O27" s="217">
        <f t="shared" si="30"/>
        <v>0</v>
      </c>
      <c r="P27" s="218">
        <f t="shared" si="66"/>
        <v>0</v>
      </c>
      <c r="Q27" s="219">
        <f t="shared" si="67"/>
        <v>0</v>
      </c>
      <c r="R27" s="220">
        <f t="shared" si="31"/>
        <v>0</v>
      </c>
      <c r="S27" s="219">
        <f t="shared" si="68"/>
        <v>0</v>
      </c>
      <c r="T27" s="244">
        <f t="shared" si="32"/>
        <v>0</v>
      </c>
      <c r="U27" s="220">
        <f t="shared" si="6"/>
        <v>0</v>
      </c>
      <c r="V27" s="220">
        <f t="shared" si="33"/>
        <v>0</v>
      </c>
      <c r="W27" s="220">
        <f>U27*InputOutput!$U$10*I27</f>
        <v>0</v>
      </c>
      <c r="X27" s="221">
        <f t="shared" si="7"/>
        <v>0</v>
      </c>
      <c r="Y27" s="1286">
        <f>InputOutput!$U$11</f>
        <v>20</v>
      </c>
      <c r="Z27" s="220">
        <f t="shared" si="69"/>
        <v>0</v>
      </c>
      <c r="AA27" s="1287">
        <f t="shared" si="70"/>
        <v>0</v>
      </c>
      <c r="AB27" s="1288">
        <f t="shared" si="34"/>
        <v>0.04</v>
      </c>
      <c r="AC27" s="1289">
        <f t="shared" si="35"/>
        <v>1</v>
      </c>
      <c r="AD27" s="220">
        <f t="shared" si="36"/>
        <v>0.0015625</v>
      </c>
      <c r="AE27" s="220">
        <f t="shared" si="37"/>
        <v>0</v>
      </c>
      <c r="AF27" s="1290">
        <f t="shared" si="71"/>
        <v>0</v>
      </c>
      <c r="AG27" s="1291">
        <f>IF($C$6-$O$49&gt;0,U27*InputOutput!$U$7,U27*(InputOutput!$U$6-$O$49))</f>
        <v>0</v>
      </c>
      <c r="AH27" s="1292">
        <f>IF($C$6-$O$49&gt;0,V27*(InputOutput!$U$8-$O$49),0)</f>
        <v>0</v>
      </c>
      <c r="AI27" s="1293">
        <f>W27*InputOutput!$U$9</f>
        <v>0</v>
      </c>
      <c r="AJ27" s="1294">
        <f t="shared" si="72"/>
        <v>0</v>
      </c>
      <c r="AK27" s="1295">
        <f t="shared" si="38"/>
        <v>0</v>
      </c>
      <c r="AL27" s="1295">
        <f t="shared" si="39"/>
        <v>0</v>
      </c>
      <c r="AM27" s="1295">
        <f t="shared" si="40"/>
        <v>0</v>
      </c>
      <c r="AN27" s="1296">
        <f t="shared" si="41"/>
        <v>0</v>
      </c>
      <c r="AO27" s="1297">
        <f t="shared" si="42"/>
        <v>0</v>
      </c>
      <c r="AP27" s="1293">
        <f t="shared" si="43"/>
        <v>0.8329203832400001</v>
      </c>
      <c r="AQ27" s="1298">
        <f t="shared" si="44"/>
        <v>0</v>
      </c>
      <c r="AR27" s="1298">
        <f t="shared" si="45"/>
        <v>0</v>
      </c>
      <c r="AS27" s="1086"/>
      <c r="AT27" s="1086"/>
      <c r="AW27" s="1299" t="str">
        <f t="shared" si="12"/>
        <v>AR_EC &gt;21-34</v>
      </c>
      <c r="AX27" s="1300">
        <f t="shared" si="46"/>
        <v>0</v>
      </c>
      <c r="AY27" s="1293">
        <f t="shared" si="47"/>
        <v>0</v>
      </c>
      <c r="AZ27" s="1293">
        <f t="shared" si="48"/>
        <v>1000</v>
      </c>
      <c r="BA27" s="1298">
        <f t="shared" si="49"/>
        <v>0</v>
      </c>
      <c r="BB27" s="1293">
        <f>Soil_vapor!C24</f>
        <v>0</v>
      </c>
      <c r="BC27" s="1293">
        <f t="shared" si="50"/>
        <v>0</v>
      </c>
      <c r="BD27" s="1301">
        <f t="shared" si="51"/>
        <v>0</v>
      </c>
      <c r="BE27" s="1293">
        <f t="shared" si="13"/>
        <v>0</v>
      </c>
      <c r="BF27" s="1290">
        <f t="shared" si="73"/>
        <v>0</v>
      </c>
      <c r="BG27" s="1302">
        <f t="shared" si="52"/>
        <v>0</v>
      </c>
      <c r="BH27" s="1295">
        <f t="shared" si="53"/>
        <v>0</v>
      </c>
      <c r="BI27" s="1301">
        <f t="shared" si="54"/>
        <v>0</v>
      </c>
      <c r="BJ27" s="1303">
        <f t="shared" si="15"/>
      </c>
      <c r="BK27" s="1304"/>
      <c r="BL27" s="1305"/>
      <c r="BM27" s="1291">
        <f t="shared" si="55"/>
      </c>
      <c r="BN27" s="1306"/>
      <c r="BR27" s="218">
        <f t="shared" si="56"/>
        <v>0</v>
      </c>
      <c r="BS27" s="138">
        <f t="shared" si="57"/>
        <v>0</v>
      </c>
      <c r="BT27" s="138">
        <f t="shared" si="58"/>
        <v>1</v>
      </c>
      <c r="BU27" s="220">
        <f t="shared" si="59"/>
        <v>0</v>
      </c>
      <c r="BV27" s="220">
        <f t="shared" si="60"/>
        <v>0</v>
      </c>
      <c r="BW27" s="1287">
        <f t="shared" si="61"/>
        <v>0</v>
      </c>
      <c r="BZ27" s="1291">
        <v>1.6E-08</v>
      </c>
      <c r="CA27" s="1307">
        <f t="shared" si="16"/>
        <v>240</v>
      </c>
      <c r="CB27" s="1308">
        <f t="shared" si="17"/>
        <v>0</v>
      </c>
      <c r="CC27" s="1294">
        <f t="shared" si="18"/>
        <v>0</v>
      </c>
      <c r="CD27" s="1308">
        <f t="shared" si="62"/>
        <v>0</v>
      </c>
      <c r="CE27" s="1293">
        <f t="shared" si="19"/>
        <v>0</v>
      </c>
      <c r="CF27" s="1309">
        <f t="shared" si="20"/>
        <v>0</v>
      </c>
    </row>
    <row r="28" spans="1:84" ht="12.75">
      <c r="A28" s="8" t="str">
        <f>MainForm!B25</f>
        <v>Benzene</v>
      </c>
      <c r="B28" s="80">
        <f>MainForm!G25</f>
        <v>0.03</v>
      </c>
      <c r="C28" s="37">
        <f t="shared" si="63"/>
        <v>3.549665739809501E-05</v>
      </c>
      <c r="D28" s="51">
        <f t="shared" si="21"/>
        <v>1.7748328699047582</v>
      </c>
      <c r="E28" s="62">
        <f t="shared" si="22"/>
        <v>6.5</v>
      </c>
      <c r="F28" s="46">
        <f t="shared" si="23"/>
        <v>78000</v>
      </c>
      <c r="G28" s="46">
        <f t="shared" si="24"/>
        <v>1750</v>
      </c>
      <c r="H28" s="46">
        <f t="shared" si="25"/>
        <v>0.228</v>
      </c>
      <c r="I28" s="46">
        <f t="shared" si="26"/>
        <v>62</v>
      </c>
      <c r="J28" s="46">
        <f t="shared" si="27"/>
        <v>2.2754267562881515E-05</v>
      </c>
      <c r="K28" s="46">
        <f t="shared" si="28"/>
        <v>876500</v>
      </c>
      <c r="L28" s="38">
        <f t="shared" si="29"/>
        <v>11.237179487179487</v>
      </c>
      <c r="M28" s="39">
        <f t="shared" si="64"/>
        <v>6.3452515515408665</v>
      </c>
      <c r="N28" s="40">
        <f t="shared" si="65"/>
        <v>6.212354806677004</v>
      </c>
      <c r="O28" s="2">
        <f t="shared" si="30"/>
        <v>7.087683749774106E-06</v>
      </c>
      <c r="P28" s="4">
        <f t="shared" si="66"/>
        <v>8.134937886590855E-05</v>
      </c>
      <c r="Q28" s="14">
        <f t="shared" si="67"/>
        <v>0.14236141301533994</v>
      </c>
      <c r="R28" s="5">
        <f t="shared" si="31"/>
        <v>7.964557444457698E-05</v>
      </c>
      <c r="S28" s="14">
        <f t="shared" si="68"/>
        <v>0.13937975527800972</v>
      </c>
      <c r="T28" s="18">
        <f t="shared" si="32"/>
        <v>6.2990945127227365</v>
      </c>
      <c r="U28" s="5">
        <f t="shared" si="6"/>
        <v>0.13937975527800972</v>
      </c>
      <c r="V28" s="5">
        <f t="shared" si="33"/>
        <v>0.031778584203386216</v>
      </c>
      <c r="W28" s="5">
        <f>U28*InputOutput!$U$10*I28</f>
        <v>0.008641544827236603</v>
      </c>
      <c r="X28" s="5">
        <f t="shared" si="7"/>
        <v>29.04826756252175</v>
      </c>
      <c r="Y28" s="32">
        <f>InputOutput!$U$11</f>
        <v>20</v>
      </c>
      <c r="Z28" s="41">
        <f t="shared" si="69"/>
        <v>6.968987763900485</v>
      </c>
      <c r="AA28" s="42">
        <f t="shared" si="70"/>
        <v>0.007390642124332905</v>
      </c>
      <c r="AB28" s="1271">
        <f t="shared" si="34"/>
        <v>0.004</v>
      </c>
      <c r="AC28" s="1272">
        <f t="shared" si="35"/>
        <v>2</v>
      </c>
      <c r="AD28" s="41">
        <f t="shared" si="36"/>
        <v>0.03125</v>
      </c>
      <c r="AE28" s="41">
        <f t="shared" si="37"/>
        <v>0.21778086762189017</v>
      </c>
      <c r="AF28" s="43">
        <f t="shared" si="71"/>
        <v>0.13774167721756256</v>
      </c>
      <c r="AG28" s="1273">
        <f>IF($C$6-$O$49&gt;0,U28*InputOutput!$U$7,U28*(InputOutput!$U$6-$O$49))</f>
        <v>0.04181392658340292</v>
      </c>
      <c r="AH28" s="1274">
        <f>IF($C$6-$O$49&gt;0,V28*(InputOutput!$U$8-$O$49),0)</f>
        <v>0.0012831797302970593</v>
      </c>
      <c r="AI28" s="31">
        <f>W28*InputOutput!$U$9</f>
        <v>0.012962317240854905</v>
      </c>
      <c r="AJ28" s="1275">
        <f t="shared" si="72"/>
        <v>2.6033418450864385</v>
      </c>
      <c r="AK28" s="1276">
        <f t="shared" si="38"/>
        <v>0.015723060328075522</v>
      </c>
      <c r="AL28" s="1276">
        <f t="shared" si="39"/>
        <v>0.00048250700089076426</v>
      </c>
      <c r="AM28" s="1276">
        <f t="shared" si="40"/>
        <v>0.004874148701703412</v>
      </c>
      <c r="AN28" s="1277">
        <f t="shared" si="41"/>
        <v>0.9789202839693303</v>
      </c>
      <c r="AO28" s="1278">
        <f t="shared" si="42"/>
        <v>1</v>
      </c>
      <c r="AP28" s="1086">
        <f t="shared" si="43"/>
        <v>493.08000000000004</v>
      </c>
      <c r="AQ28" s="1279">
        <f t="shared" si="44"/>
        <v>0.0035994825786987063</v>
      </c>
      <c r="AR28" s="1279">
        <f t="shared" si="45"/>
        <v>7.239305820354668E-06</v>
      </c>
      <c r="AS28" s="1086"/>
      <c r="AT28" s="1086"/>
      <c r="AW28" s="25" t="str">
        <f t="shared" si="12"/>
        <v>Benzene</v>
      </c>
      <c r="AX28" s="1280">
        <f t="shared" si="46"/>
        <v>1.7748328699047582</v>
      </c>
      <c r="AY28" s="31">
        <f t="shared" si="47"/>
        <v>31778.584203386217</v>
      </c>
      <c r="AZ28" s="31">
        <f t="shared" si="48"/>
        <v>1000</v>
      </c>
      <c r="BA28" s="1279">
        <f t="shared" si="49"/>
        <v>31.778584203386217</v>
      </c>
      <c r="BB28" s="31">
        <f>Soil_vapor!C25</f>
        <v>10</v>
      </c>
      <c r="BC28" s="31">
        <f t="shared" si="50"/>
        <v>31.778584203386217</v>
      </c>
      <c r="BD28" s="292">
        <f t="shared" si="51"/>
        <v>0.00855</v>
      </c>
      <c r="BE28" s="31">
        <f t="shared" si="13"/>
        <v>2.3229959213001616</v>
      </c>
      <c r="BF28" s="43">
        <f t="shared" si="73"/>
        <v>0.011315031595443652</v>
      </c>
      <c r="BG28" s="1281">
        <f t="shared" si="52"/>
        <v>2.3229959213001616</v>
      </c>
      <c r="BH28" s="1276">
        <f t="shared" si="53"/>
        <v>0.011315031595443652</v>
      </c>
      <c r="BI28" s="292">
        <f t="shared" si="54"/>
        <v>0.027</v>
      </c>
      <c r="BJ28" s="1207">
        <f t="shared" si="15"/>
        <v>9.805963125616319E-05</v>
      </c>
      <c r="BK28" s="361" t="str">
        <f>IF(ISERROR(BJ28-0.000001),"",IF((BJ28-0.000001)*10000&gt;0,"Fail",""))</f>
        <v>Fail</v>
      </c>
      <c r="BL28" s="34">
        <f>IF(ISERROR(IF((BJ28-0.000001)&lt;0,"0","1")),"",IF((BJ28-0.000001)&lt;0,0,1))</f>
        <v>1</v>
      </c>
      <c r="BM28" s="1273">
        <f t="shared" si="55"/>
        <v>9.805963125616319E-05</v>
      </c>
      <c r="BN28" s="36"/>
      <c r="BR28" s="4">
        <f t="shared" si="56"/>
        <v>6.968987763900485</v>
      </c>
      <c r="BS28" s="47">
        <f t="shared" si="57"/>
        <v>0.055</v>
      </c>
      <c r="BT28" s="47">
        <f t="shared" si="58"/>
        <v>2</v>
      </c>
      <c r="BU28" s="5">
        <f t="shared" si="59"/>
        <v>795454.5454545455</v>
      </c>
      <c r="BV28" s="5">
        <f t="shared" si="60"/>
        <v>8.761013188903467E-06</v>
      </c>
      <c r="BW28" s="42">
        <f t="shared" si="61"/>
        <v>0.999910335289342</v>
      </c>
      <c r="BZ28" s="1273">
        <v>0.125</v>
      </c>
      <c r="CA28" s="15">
        <f t="shared" si="16"/>
        <v>78</v>
      </c>
      <c r="CB28" s="1282">
        <f t="shared" si="17"/>
        <v>8.134937886590855E-05</v>
      </c>
      <c r="CC28" s="1275">
        <f t="shared" si="18"/>
        <v>32972.21169316567</v>
      </c>
      <c r="CD28" s="1282">
        <f t="shared" si="62"/>
        <v>7.964557444457698E-05</v>
      </c>
      <c r="CE28" s="31">
        <f t="shared" si="19"/>
        <v>32285.56482519708</v>
      </c>
      <c r="CF28" s="1283">
        <f t="shared" si="20"/>
        <v>31778.584203386217</v>
      </c>
    </row>
    <row r="29" spans="1:84" ht="12.75">
      <c r="A29" s="8" t="str">
        <f>MainForm!B26</f>
        <v>Toluene</v>
      </c>
      <c r="B29" s="80">
        <f>MainForm!G26</f>
        <v>5</v>
      </c>
      <c r="C29" s="37">
        <f t="shared" si="63"/>
        <v>0.005916109566349169</v>
      </c>
      <c r="D29" s="51">
        <f t="shared" si="21"/>
        <v>295.8054783174597</v>
      </c>
      <c r="E29" s="62">
        <f t="shared" si="22"/>
        <v>7.6</v>
      </c>
      <c r="F29" s="46">
        <f t="shared" si="23"/>
        <v>92000</v>
      </c>
      <c r="G29" s="46">
        <f t="shared" si="24"/>
        <v>526</v>
      </c>
      <c r="H29" s="46">
        <f t="shared" si="25"/>
        <v>0.272</v>
      </c>
      <c r="I29" s="46">
        <f t="shared" si="26"/>
        <v>140</v>
      </c>
      <c r="J29" s="46">
        <f t="shared" si="27"/>
        <v>0.0032152769382332576</v>
      </c>
      <c r="K29" s="46">
        <f t="shared" si="28"/>
        <v>866900</v>
      </c>
      <c r="L29" s="38">
        <f t="shared" si="29"/>
        <v>9.422826086956523</v>
      </c>
      <c r="M29" s="39">
        <f t="shared" si="64"/>
        <v>1057.541925256811</v>
      </c>
      <c r="N29" s="40">
        <f t="shared" si="65"/>
        <v>1051.0009003783923</v>
      </c>
      <c r="O29" s="2">
        <f t="shared" si="30"/>
        <v>0.0012123669401065777</v>
      </c>
      <c r="P29" s="4">
        <f t="shared" si="66"/>
        <v>0.011495020926704468</v>
      </c>
      <c r="Q29" s="14">
        <f t="shared" si="67"/>
        <v>6.04638100744655</v>
      </c>
      <c r="R29" s="5">
        <f t="shared" si="31"/>
        <v>0.011423922830199917</v>
      </c>
      <c r="S29" s="14">
        <f t="shared" si="68"/>
        <v>6.008983408685157</v>
      </c>
      <c r="T29" s="18">
        <f t="shared" si="32"/>
        <v>813.6060904286884</v>
      </c>
      <c r="U29" s="5">
        <f t="shared" si="6"/>
        <v>6.008983408685157</v>
      </c>
      <c r="V29" s="5">
        <f t="shared" si="33"/>
        <v>1.6344434871623628</v>
      </c>
      <c r="W29" s="5">
        <f>U29*InputOutput!$U$10*I29</f>
        <v>0.8412576772159219</v>
      </c>
      <c r="X29" s="5">
        <f t="shared" si="7"/>
        <v>4914.361190354035</v>
      </c>
      <c r="Y29" s="32">
        <f>InputOutput!$U$11</f>
        <v>20</v>
      </c>
      <c r="Z29" s="41">
        <f t="shared" si="69"/>
        <v>300.44917043425784</v>
      </c>
      <c r="AA29" s="42">
        <f t="shared" si="70"/>
        <v>0.3186276645131459</v>
      </c>
      <c r="AB29" s="1271">
        <f t="shared" si="34"/>
        <v>0.08</v>
      </c>
      <c r="AC29" s="1272">
        <f t="shared" si="35"/>
        <v>2</v>
      </c>
      <c r="AD29" s="41">
        <f t="shared" si="36"/>
        <v>0.0015625</v>
      </c>
      <c r="AE29" s="41">
        <f t="shared" si="37"/>
        <v>0.46945182880352787</v>
      </c>
      <c r="AF29" s="43">
        <f t="shared" si="71"/>
        <v>0.29691810386446627</v>
      </c>
      <c r="AG29" s="1273">
        <f>IF($C$6-$O$49&gt;0,U29*InputOutput!$U$7,U29*(InputOutput!$U$6-$O$49))</f>
        <v>1.802695022605547</v>
      </c>
      <c r="AH29" s="1274">
        <f>IF($C$6-$O$49&gt;0,V29*(InputOutput!$U$8-$O$49),0)</f>
        <v>0.06599679644693883</v>
      </c>
      <c r="AI29" s="31">
        <f>W29*InputOutput!$U$9</f>
        <v>1.2618865158238828</v>
      </c>
      <c r="AJ29" s="1275">
        <f t="shared" si="72"/>
        <v>440.43115828442893</v>
      </c>
      <c r="AK29" s="1276">
        <f t="shared" si="38"/>
        <v>0.004064135550431262</v>
      </c>
      <c r="AL29" s="1276">
        <f t="shared" si="39"/>
        <v>0.00014878829934688833</v>
      </c>
      <c r="AM29" s="1276">
        <f t="shared" si="40"/>
        <v>0.0028448948853018836</v>
      </c>
      <c r="AN29" s="1277">
        <f t="shared" si="41"/>
        <v>0.99294218126492</v>
      </c>
      <c r="AO29" s="1278">
        <f t="shared" si="42"/>
        <v>1</v>
      </c>
      <c r="AP29" s="1086">
        <f t="shared" si="43"/>
        <v>191.23957333333337</v>
      </c>
      <c r="AQ29" s="1279">
        <f t="shared" si="44"/>
        <v>1.546779639598267</v>
      </c>
      <c r="AR29" s="1279">
        <f t="shared" si="45"/>
        <v>0.0012199122450764922</v>
      </c>
      <c r="AS29" s="1086"/>
      <c r="AT29" s="1086"/>
      <c r="AW29" s="25" t="str">
        <f t="shared" si="12"/>
        <v>Toluene</v>
      </c>
      <c r="AX29" s="1280">
        <f t="shared" si="46"/>
        <v>295.8054783174597</v>
      </c>
      <c r="AY29" s="31">
        <f t="shared" si="47"/>
        <v>1634443.4871623628</v>
      </c>
      <c r="AZ29" s="31">
        <f t="shared" si="48"/>
        <v>1000</v>
      </c>
      <c r="BA29" s="1279">
        <f t="shared" si="49"/>
        <v>1634.4434871623628</v>
      </c>
      <c r="BB29" s="31">
        <f>Soil_vapor!C26</f>
        <v>15</v>
      </c>
      <c r="BC29" s="31">
        <f t="shared" si="50"/>
        <v>1634.4434871623628</v>
      </c>
      <c r="BD29" s="292">
        <f t="shared" si="51"/>
        <v>1.4</v>
      </c>
      <c r="BE29" s="31">
        <f t="shared" si="13"/>
        <v>0.7296622710546262</v>
      </c>
      <c r="BF29" s="43">
        <f t="shared" si="73"/>
        <v>0.003554096490348277</v>
      </c>
      <c r="BG29" s="1281">
        <f t="shared" si="52"/>
        <v>0.7296622710546262</v>
      </c>
      <c r="BH29" s="1276">
        <f t="shared" si="53"/>
        <v>0.003554096490348277</v>
      </c>
      <c r="BI29" s="292">
        <f t="shared" si="54"/>
        <v>0</v>
      </c>
      <c r="BJ29" s="1207">
        <f aca="true" t="shared" si="74" ref="BJ29:BJ36">IF(ISERROR(BC29/(($BC$6*$BC$7*1000)/(BI29*$BC$8*1*$BC$9))),"",BC29/(($BC$6*$BC$7*1000)/(BI29*$BC$8*1*$BC$9)))</f>
      </c>
      <c r="BK29" s="361">
        <f aca="true" t="shared" si="75" ref="BK29:BK44">IF(ISERROR(BJ29-0.000001),"",IF((BJ29-0.000001)*10000&gt;0,"Fail",""))</f>
      </c>
      <c r="BL29" s="34">
        <f aca="true" t="shared" si="76" ref="BL29:BL45">IF(ISERROR(IF((BJ29-0.000001)&lt;0,"0","1")),"",IF((BJ29-0.000001)&lt;0,0,1))</f>
      </c>
      <c r="BM29" s="1273">
        <f t="shared" si="55"/>
      </c>
      <c r="BN29" s="36"/>
      <c r="BR29" s="4">
        <f t="shared" si="56"/>
        <v>300.44917043425784</v>
      </c>
      <c r="BS29" s="47">
        <f t="shared" si="57"/>
        <v>0</v>
      </c>
      <c r="BT29" s="47">
        <f t="shared" si="58"/>
        <v>2</v>
      </c>
      <c r="BU29" s="5">
        <f t="shared" si="59"/>
        <v>0</v>
      </c>
      <c r="BV29" s="5">
        <f t="shared" si="60"/>
        <v>0</v>
      </c>
      <c r="BW29" s="42">
        <f t="shared" si="61"/>
        <v>0</v>
      </c>
      <c r="BZ29" s="1273">
        <v>0.0375</v>
      </c>
      <c r="CA29" s="15">
        <f t="shared" si="16"/>
        <v>92</v>
      </c>
      <c r="CB29" s="1282">
        <f t="shared" si="17"/>
        <v>0.011495020926704468</v>
      </c>
      <c r="CC29" s="1275">
        <f t="shared" si="18"/>
        <v>1648610.584658284</v>
      </c>
      <c r="CD29" s="1282">
        <f t="shared" si="62"/>
        <v>0.011423922830199917</v>
      </c>
      <c r="CE29" s="31">
        <f t="shared" si="19"/>
        <v>1638613.3160345412</v>
      </c>
      <c r="CF29" s="1283">
        <f t="shared" si="20"/>
        <v>1634443.4871623628</v>
      </c>
    </row>
    <row r="30" spans="1:84" ht="12.75">
      <c r="A30" s="8" t="str">
        <f>MainForm!B27</f>
        <v>Ethylbenzene</v>
      </c>
      <c r="B30" s="80">
        <f>MainForm!G27</f>
        <v>7</v>
      </c>
      <c r="C30" s="37">
        <f t="shared" si="63"/>
        <v>0.008282553392888836</v>
      </c>
      <c r="D30" s="51">
        <f t="shared" si="21"/>
        <v>414.12766964444353</v>
      </c>
      <c r="E30" s="62">
        <f t="shared" si="22"/>
        <v>8.5</v>
      </c>
      <c r="F30" s="46">
        <f t="shared" si="23"/>
        <v>106000</v>
      </c>
      <c r="G30" s="46">
        <f t="shared" si="24"/>
        <v>169</v>
      </c>
      <c r="H30" s="46">
        <f t="shared" si="25"/>
        <v>0.323</v>
      </c>
      <c r="I30" s="46">
        <f t="shared" si="26"/>
        <v>204</v>
      </c>
      <c r="J30" s="46">
        <f t="shared" si="27"/>
        <v>0.003906864807966448</v>
      </c>
      <c r="K30" s="46">
        <f t="shared" si="28"/>
        <v>867000</v>
      </c>
      <c r="L30" s="38">
        <f t="shared" si="29"/>
        <v>8.179245283018869</v>
      </c>
      <c r="M30" s="39">
        <f t="shared" si="64"/>
        <v>1480.5586953595355</v>
      </c>
      <c r="N30" s="40">
        <f t="shared" si="65"/>
        <v>1478.7038400260828</v>
      </c>
      <c r="O30" s="2">
        <f t="shared" si="30"/>
        <v>0.0017055407612757588</v>
      </c>
      <c r="P30" s="4">
        <f t="shared" si="66"/>
        <v>0.01396753486188241</v>
      </c>
      <c r="Q30" s="14">
        <f t="shared" si="67"/>
        <v>2.3605133916581273</v>
      </c>
      <c r="R30" s="5">
        <f t="shared" si="31"/>
        <v>0.01395003622666116</v>
      </c>
      <c r="S30" s="14">
        <f t="shared" si="68"/>
        <v>2.357556122305736</v>
      </c>
      <c r="T30" s="18">
        <f t="shared" si="32"/>
        <v>958.6436588013166</v>
      </c>
      <c r="U30" s="5">
        <f t="shared" si="6"/>
        <v>2.357556122305736</v>
      </c>
      <c r="V30" s="5">
        <f t="shared" si="33"/>
        <v>0.7614906275047527</v>
      </c>
      <c r="W30" s="5">
        <f>U30*InputOutput!$U$10*I30</f>
        <v>0.48094144895037017</v>
      </c>
      <c r="X30" s="5">
        <f t="shared" si="7"/>
        <v>6914.25170124532</v>
      </c>
      <c r="Y30" s="32">
        <f>InputOutput!$U$11</f>
        <v>20</v>
      </c>
      <c r="Z30" s="41">
        <f t="shared" si="69"/>
        <v>117.8778061152868</v>
      </c>
      <c r="AA30" s="42">
        <f t="shared" si="70"/>
        <v>0.12500993098486748</v>
      </c>
      <c r="AB30" s="1271">
        <f t="shared" si="34"/>
        <v>0.1</v>
      </c>
      <c r="AC30" s="1272">
        <f t="shared" si="35"/>
        <v>2</v>
      </c>
      <c r="AD30" s="41">
        <f t="shared" si="36"/>
        <v>0.00125</v>
      </c>
      <c r="AE30" s="41">
        <f t="shared" si="37"/>
        <v>0.1473472576441085</v>
      </c>
      <c r="AF30" s="43">
        <f t="shared" si="71"/>
        <v>0.0931939459280021</v>
      </c>
      <c r="AG30" s="1273">
        <f>IF($C$6-$O$49&gt;0,U30*InputOutput!$U$7,U30*(InputOutput!$U$6-$O$49))</f>
        <v>0.7072668366917207</v>
      </c>
      <c r="AH30" s="1274">
        <f>IF($C$6-$O$49&gt;0,V30*(InputOutput!$U$8-$O$49),0)</f>
        <v>0.03074804502842413</v>
      </c>
      <c r="AI30" s="31">
        <f>W30*InputOutput!$U$9</f>
        <v>0.7214121734255552</v>
      </c>
      <c r="AJ30" s="1275">
        <f t="shared" si="72"/>
        <v>619.6638316749724</v>
      </c>
      <c r="AK30" s="1276">
        <f t="shared" si="38"/>
        <v>0.0011386899890654916</v>
      </c>
      <c r="AL30" s="1276">
        <f t="shared" si="39"/>
        <v>4.950393435803431E-05</v>
      </c>
      <c r="AM30" s="1276">
        <f t="shared" si="40"/>
        <v>0.0011614637888468016</v>
      </c>
      <c r="AN30" s="1277">
        <f t="shared" si="41"/>
        <v>0.9976503422877296</v>
      </c>
      <c r="AO30" s="1278">
        <f t="shared" si="42"/>
        <v>1</v>
      </c>
      <c r="AP30" s="1086">
        <f t="shared" si="43"/>
        <v>73.00687333333335</v>
      </c>
      <c r="AQ30" s="1279">
        <f t="shared" si="44"/>
        <v>5.672447685214891</v>
      </c>
      <c r="AR30" s="1279">
        <f t="shared" si="45"/>
        <v>0.0017076801561240317</v>
      </c>
      <c r="AS30" s="1086"/>
      <c r="AT30" s="1086"/>
      <c r="AW30" s="25" t="str">
        <f t="shared" si="12"/>
        <v>Ethylbenzene</v>
      </c>
      <c r="AX30" s="1280">
        <f t="shared" si="46"/>
        <v>414.12766964444353</v>
      </c>
      <c r="AY30" s="31">
        <f t="shared" si="47"/>
        <v>761490.6275047527</v>
      </c>
      <c r="AZ30" s="31">
        <f t="shared" si="48"/>
        <v>1000</v>
      </c>
      <c r="BA30" s="1279">
        <f t="shared" si="49"/>
        <v>761.4906275047528</v>
      </c>
      <c r="BB30" s="31">
        <f>Soil_vapor!C27</f>
        <v>5</v>
      </c>
      <c r="BC30" s="31">
        <f t="shared" si="50"/>
        <v>761.4906275047528</v>
      </c>
      <c r="BD30" s="292">
        <f t="shared" si="51"/>
        <v>0.286</v>
      </c>
      <c r="BE30" s="31">
        <f t="shared" si="13"/>
        <v>1.664096651015631</v>
      </c>
      <c r="BF30" s="43">
        <f t="shared" si="73"/>
        <v>0.008105613105672276</v>
      </c>
      <c r="BG30" s="1281">
        <f t="shared" si="52"/>
        <v>1.664096651015631</v>
      </c>
      <c r="BH30" s="1276">
        <f t="shared" si="53"/>
        <v>0.008105613105672276</v>
      </c>
      <c r="BI30" s="292">
        <f t="shared" si="54"/>
        <v>0</v>
      </c>
      <c r="BJ30" s="1207">
        <f t="shared" si="74"/>
      </c>
      <c r="BK30" s="361">
        <f t="shared" si="75"/>
      </c>
      <c r="BL30" s="34">
        <f t="shared" si="76"/>
      </c>
      <c r="BM30" s="1273">
        <f t="shared" si="55"/>
      </c>
      <c r="BN30" s="36"/>
      <c r="BR30" s="4">
        <f t="shared" si="56"/>
        <v>117.8778061152868</v>
      </c>
      <c r="BS30" s="47">
        <f t="shared" si="57"/>
        <v>0</v>
      </c>
      <c r="BT30" s="47">
        <f t="shared" si="58"/>
        <v>2</v>
      </c>
      <c r="BU30" s="5">
        <f t="shared" si="59"/>
        <v>0</v>
      </c>
      <c r="BV30" s="5">
        <f t="shared" si="60"/>
        <v>0</v>
      </c>
      <c r="BW30" s="42">
        <f t="shared" si="61"/>
        <v>0</v>
      </c>
      <c r="BZ30" s="1273">
        <v>0.0125</v>
      </c>
      <c r="CA30" s="15">
        <f t="shared" si="16"/>
        <v>106</v>
      </c>
      <c r="CB30" s="1282">
        <f t="shared" si="17"/>
        <v>0.01396753486188241</v>
      </c>
      <c r="CC30" s="1275">
        <f t="shared" si="18"/>
        <v>769351.6061738657</v>
      </c>
      <c r="CD30" s="1282">
        <f t="shared" si="62"/>
        <v>0.01395003622666116</v>
      </c>
      <c r="CE30" s="31">
        <f t="shared" si="19"/>
        <v>768481.3596467223</v>
      </c>
      <c r="CF30" s="1283">
        <f t="shared" si="20"/>
        <v>761490.6275047527</v>
      </c>
    </row>
    <row r="31" spans="1:84" ht="13.5" thickBot="1">
      <c r="A31" s="112" t="str">
        <f>MainForm!B28</f>
        <v>Total Xylenes</v>
      </c>
      <c r="B31" s="1534">
        <f>MainForm!G28</f>
        <v>13</v>
      </c>
      <c r="C31" s="53">
        <f t="shared" si="63"/>
        <v>0.015381884872507839</v>
      </c>
      <c r="D31" s="54">
        <f t="shared" si="21"/>
        <v>769.0942436253952</v>
      </c>
      <c r="E31" s="63">
        <f t="shared" si="22"/>
        <v>8.67</v>
      </c>
      <c r="F31" s="48">
        <f t="shared" si="23"/>
        <v>106000</v>
      </c>
      <c r="G31" s="48">
        <f t="shared" si="24"/>
        <v>171</v>
      </c>
      <c r="H31" s="48">
        <f t="shared" si="25"/>
        <v>0.279</v>
      </c>
      <c r="I31" s="48">
        <f t="shared" si="26"/>
        <v>233</v>
      </c>
      <c r="J31" s="48">
        <f t="shared" si="27"/>
        <v>0.0072556060719376906</v>
      </c>
      <c r="K31" s="48">
        <f t="shared" si="28"/>
        <v>875170</v>
      </c>
      <c r="L31" s="55">
        <f t="shared" si="29"/>
        <v>8.256320754716981</v>
      </c>
      <c r="M31" s="1310">
        <f t="shared" si="64"/>
        <v>2749.609005667709</v>
      </c>
      <c r="N31" s="1311">
        <f t="shared" si="65"/>
        <v>2745.6860202820803</v>
      </c>
      <c r="O31" s="56">
        <f t="shared" si="30"/>
        <v>0.0031373173443811834</v>
      </c>
      <c r="P31" s="57">
        <f t="shared" si="66"/>
        <v>0.025939707600638764</v>
      </c>
      <c r="Q31" s="58">
        <f t="shared" si="67"/>
        <v>4.435689999709228</v>
      </c>
      <c r="R31" s="59">
        <f t="shared" si="31"/>
        <v>0.025902698304547927</v>
      </c>
      <c r="S31" s="58">
        <f t="shared" si="68"/>
        <v>4.4293614100776955</v>
      </c>
      <c r="T31" s="394">
        <f t="shared" si="32"/>
        <v>1682.2569745513695</v>
      </c>
      <c r="U31" s="59">
        <f t="shared" si="6"/>
        <v>4.4293614100776955</v>
      </c>
      <c r="V31" s="59">
        <f t="shared" si="33"/>
        <v>1.235791833411677</v>
      </c>
      <c r="W31" s="59">
        <f>U31*InputOutput!$U$10*I31</f>
        <v>1.032041208548103</v>
      </c>
      <c r="X31" s="60">
        <f t="shared" si="7"/>
        <v>12838.516897667623</v>
      </c>
      <c r="Y31" s="1312">
        <f>InputOutput!$U$11</f>
        <v>20</v>
      </c>
      <c r="Z31" s="59">
        <f t="shared" si="69"/>
        <v>221.46807050388477</v>
      </c>
      <c r="AA31" s="1313">
        <f t="shared" si="70"/>
        <v>0.23486786123220885</v>
      </c>
      <c r="AB31" s="1314">
        <f t="shared" si="34"/>
        <v>0.2</v>
      </c>
      <c r="AC31" s="1315">
        <f t="shared" si="35"/>
        <v>2</v>
      </c>
      <c r="AD31" s="59">
        <f t="shared" si="36"/>
        <v>0.000625</v>
      </c>
      <c r="AE31" s="59">
        <f t="shared" si="37"/>
        <v>0.13841754406492798</v>
      </c>
      <c r="AF31" s="1316">
        <f t="shared" si="71"/>
        <v>0.08754609568798803</v>
      </c>
      <c r="AG31" s="1317">
        <f>IF($C$6-$O$49&gt;0,U31*InputOutput!$U$7,U31*(InputOutput!$U$6-$O$49))</f>
        <v>1.3288084230233086</v>
      </c>
      <c r="AH31" s="1318">
        <f>IF($C$6-$O$49&gt;0,V31*(InputOutput!$U$8-$O$49),0)</f>
        <v>0.049899738180643465</v>
      </c>
      <c r="AI31" s="1319">
        <f>W31*InputOutput!$U$9</f>
        <v>1.5480618128221546</v>
      </c>
      <c r="AJ31" s="1320">
        <f t="shared" si="72"/>
        <v>1150.6038422639037</v>
      </c>
      <c r="AK31" s="1321">
        <f t="shared" si="38"/>
        <v>0.0011519489894120172</v>
      </c>
      <c r="AL31" s="1321">
        <f t="shared" si="39"/>
        <v>4.3258269569313376E-05</v>
      </c>
      <c r="AM31" s="1321">
        <f t="shared" si="40"/>
        <v>0.001342020572665</v>
      </c>
      <c r="AN31" s="1322">
        <f t="shared" si="41"/>
        <v>0.9974627721683538</v>
      </c>
      <c r="AO31" s="1323">
        <f t="shared" si="42"/>
        <v>1</v>
      </c>
      <c r="AP31" s="1319">
        <f t="shared" si="43"/>
        <v>78.17778</v>
      </c>
      <c r="AQ31" s="1324">
        <f t="shared" si="44"/>
        <v>9.837760085095727</v>
      </c>
      <c r="AR31" s="1324">
        <f t="shared" si="45"/>
        <v>0.003141799885356798</v>
      </c>
      <c r="AS31" s="1086"/>
      <c r="AT31" s="1086"/>
      <c r="AW31" s="379" t="str">
        <f t="shared" si="12"/>
        <v>Total Xylenes</v>
      </c>
      <c r="AX31" s="1325">
        <f>D31</f>
        <v>769.0942436253952</v>
      </c>
      <c r="AY31" s="1319">
        <f t="shared" si="47"/>
        <v>1235791.833411677</v>
      </c>
      <c r="AZ31" s="1319">
        <f t="shared" si="48"/>
        <v>1000</v>
      </c>
      <c r="BA31" s="1324">
        <f t="shared" si="49"/>
        <v>1235.791833411677</v>
      </c>
      <c r="BB31" s="1319">
        <f>Soil_vapor!C28</f>
        <v>36</v>
      </c>
      <c r="BC31" s="1319">
        <f t="shared" si="50"/>
        <v>1235.791833411677</v>
      </c>
      <c r="BD31" s="371">
        <f t="shared" si="51"/>
        <v>0.029</v>
      </c>
      <c r="BE31" s="1319">
        <f t="shared" si="13"/>
        <v>26.63344468559649</v>
      </c>
      <c r="BF31" s="1316">
        <f t="shared" si="73"/>
        <v>0.1297282812035061</v>
      </c>
      <c r="BG31" s="1326">
        <f t="shared" si="52"/>
        <v>26.63344468559649</v>
      </c>
      <c r="BH31" s="1321">
        <f t="shared" si="53"/>
        <v>0.1297282812035061</v>
      </c>
      <c r="BI31" s="371">
        <f t="shared" si="54"/>
        <v>0</v>
      </c>
      <c r="BJ31" s="1327">
        <f t="shared" si="74"/>
      </c>
      <c r="BK31" s="1213">
        <f t="shared" si="75"/>
      </c>
      <c r="BL31" s="372">
        <f t="shared" si="76"/>
      </c>
      <c r="BM31" s="1317">
        <f t="shared" si="55"/>
      </c>
      <c r="BN31" s="1217"/>
      <c r="BR31" s="57">
        <f t="shared" si="56"/>
        <v>221.46807050388477</v>
      </c>
      <c r="BS31" s="49">
        <f t="shared" si="57"/>
        <v>0</v>
      </c>
      <c r="BT31" s="49">
        <f t="shared" si="58"/>
        <v>2</v>
      </c>
      <c r="BU31" s="59">
        <f t="shared" si="59"/>
        <v>0</v>
      </c>
      <c r="BV31" s="59">
        <f t="shared" si="60"/>
        <v>0</v>
      </c>
      <c r="BW31" s="1313">
        <f t="shared" si="61"/>
        <v>0</v>
      </c>
      <c r="BZ31" s="1317">
        <f>(0.0109+0.0115+0.0115)/3</f>
        <v>0.0113</v>
      </c>
      <c r="CA31" s="1328">
        <f t="shared" si="16"/>
        <v>106</v>
      </c>
      <c r="CB31" s="1329">
        <f t="shared" si="17"/>
        <v>0.025939707600638764</v>
      </c>
      <c r="CC31" s="1320">
        <f t="shared" si="18"/>
        <v>1291631.43939361</v>
      </c>
      <c r="CD31" s="1329">
        <f t="shared" si="62"/>
        <v>0.025902698304547927</v>
      </c>
      <c r="CE31" s="1319">
        <f t="shared" si="19"/>
        <v>1289945.732133154</v>
      </c>
      <c r="CF31" s="1330">
        <f t="shared" si="20"/>
        <v>1235791.833411677</v>
      </c>
    </row>
    <row r="32" spans="1:84" ht="12.75">
      <c r="A32" s="8" t="str">
        <f>MainForm!B29</f>
        <v>Naphthalene</v>
      </c>
      <c r="B32" s="80">
        <f>MainForm!G29</f>
        <v>15</v>
      </c>
      <c r="C32" s="37">
        <f t="shared" si="63"/>
        <v>0.017748328699047508</v>
      </c>
      <c r="D32" s="51">
        <f t="shared" si="21"/>
        <v>887.4164349523792</v>
      </c>
      <c r="E32" s="62"/>
      <c r="F32" s="46">
        <f t="shared" si="23"/>
        <v>128000</v>
      </c>
      <c r="G32" s="46">
        <f t="shared" si="24"/>
        <v>31</v>
      </c>
      <c r="H32" s="46">
        <f t="shared" si="25"/>
        <v>0.0198</v>
      </c>
      <c r="I32" s="46">
        <f t="shared" si="26"/>
        <v>1191</v>
      </c>
      <c r="J32" s="46">
        <f t="shared" si="27"/>
        <v>0.0069329408980654626</v>
      </c>
      <c r="K32" s="46">
        <f t="shared" si="28"/>
        <v>1145000</v>
      </c>
      <c r="L32" s="38">
        <f t="shared" si="29"/>
        <v>8.9453125</v>
      </c>
      <c r="M32" s="39">
        <f t="shared" si="64"/>
        <v>3172.625775770434</v>
      </c>
      <c r="N32" s="40">
        <f t="shared" si="65"/>
        <v>3172.6323858886635</v>
      </c>
      <c r="O32" s="64">
        <f t="shared" si="30"/>
        <v>0.0027708579789420644</v>
      </c>
      <c r="P32" s="4">
        <f t="shared" si="66"/>
        <v>0.024786138873206513</v>
      </c>
      <c r="Q32" s="14">
        <f t="shared" si="67"/>
        <v>0.768370305069402</v>
      </c>
      <c r="R32" s="5">
        <f t="shared" si="31"/>
        <v>0.024786190514755183</v>
      </c>
      <c r="S32" s="14">
        <f t="shared" si="68"/>
        <v>0.7683719059574107</v>
      </c>
      <c r="T32" s="61">
        <f t="shared" si="32"/>
        <v>637.1840597454034</v>
      </c>
      <c r="U32" s="5">
        <f t="shared" si="6"/>
        <v>0.7683719059574107</v>
      </c>
      <c r="V32" s="5">
        <f t="shared" si="33"/>
        <v>0.015213763737956732</v>
      </c>
      <c r="W32" s="5">
        <f>U32*InputOutput!$U$10*I32</f>
        <v>0.9151309399952761</v>
      </c>
      <c r="X32" s="5">
        <f t="shared" si="7"/>
        <v>14834.869754020358</v>
      </c>
      <c r="Y32" s="32">
        <f>InputOutput!$U$11</f>
        <v>20</v>
      </c>
      <c r="Z32" s="5">
        <f t="shared" si="69"/>
        <v>38.41859529787053</v>
      </c>
      <c r="AA32" s="42">
        <f t="shared" si="70"/>
        <v>0.04074308900884369</v>
      </c>
      <c r="AB32" s="1271">
        <f t="shared" si="34"/>
        <v>0.02</v>
      </c>
      <c r="AC32" s="1272">
        <f t="shared" si="35"/>
        <v>2</v>
      </c>
      <c r="AD32" s="5">
        <f t="shared" si="36"/>
        <v>0.00625</v>
      </c>
      <c r="AE32" s="5">
        <f t="shared" si="37"/>
        <v>0.24011622061169083</v>
      </c>
      <c r="AF32" s="43">
        <f t="shared" si="71"/>
        <v>0.15186830374658739</v>
      </c>
      <c r="AG32" s="1273">
        <f>IF($C$6-$O$49&gt;0,U32*InputOutput!$U$7,U32*(InputOutput!$U$6-$O$49))</f>
        <v>0.2305115717872232</v>
      </c>
      <c r="AH32" s="1274">
        <f>IF($C$6-$O$49&gt;0,V32*(InputOutput!$U$8-$O$49),0)</f>
        <v>0.0006143128694825336</v>
      </c>
      <c r="AI32" s="31">
        <f>W32*InputOutput!$U$9</f>
        <v>1.3726964099929142</v>
      </c>
      <c r="AJ32" s="1275">
        <f t="shared" si="72"/>
        <v>1329.5194666575028</v>
      </c>
      <c r="AK32" s="1276">
        <f>IF(AG32=0,0,AG32/(SUM(AG32:AJ32)))</f>
        <v>0.0001731707150647779</v>
      </c>
      <c r="AL32" s="1276">
        <f>IF(AH32=0,0,AH32/(SUM(AG32:AJ32)))</f>
        <v>4.614996030654041E-07</v>
      </c>
      <c r="AM32" s="1276">
        <f>IF(AI32=0,0,AI32/(SUM(AG32:AJ32)))</f>
        <v>0.0010312316082107522</v>
      </c>
      <c r="AN32" s="1277">
        <f>IF(AJ32=0,0,AJ32/(SUM(AG32:AJ32)))</f>
        <v>0.9987951361771213</v>
      </c>
      <c r="AO32" s="1331">
        <f>SUM(AK32:AN32)</f>
        <v>0.9999999999999999</v>
      </c>
      <c r="AP32" s="31">
        <f t="shared" si="43"/>
        <v>43.174196</v>
      </c>
      <c r="AQ32" s="1279">
        <f t="shared" si="44"/>
        <v>20.554324507916238</v>
      </c>
      <c r="AR32" s="1279">
        <f t="shared" si="45"/>
        <v>0.0027708522059130426</v>
      </c>
      <c r="AS32" s="1086"/>
      <c r="AT32" s="1086"/>
      <c r="AW32" s="25" t="str">
        <f t="shared" si="12"/>
        <v>Naphthalene</v>
      </c>
      <c r="AX32" s="1280">
        <f t="shared" si="46"/>
        <v>887.4164349523792</v>
      </c>
      <c r="AY32" s="31">
        <f t="shared" si="47"/>
        <v>15213.763737956731</v>
      </c>
      <c r="AZ32" s="31">
        <f t="shared" si="48"/>
        <v>1000</v>
      </c>
      <c r="BA32" s="1279">
        <f t="shared" si="49"/>
        <v>15.21376373795673</v>
      </c>
      <c r="BB32" s="31">
        <f>Soil_vapor!C29</f>
        <v>2.5</v>
      </c>
      <c r="BC32" s="31">
        <f t="shared" si="50"/>
        <v>15.21376373795673</v>
      </c>
      <c r="BD32" s="292">
        <f t="shared" si="51"/>
        <v>0.00086</v>
      </c>
      <c r="BE32" s="31">
        <f t="shared" si="13"/>
        <v>11.056514344445299</v>
      </c>
      <c r="BF32" s="43">
        <f t="shared" si="73"/>
        <v>0.053854941369356514</v>
      </c>
      <c r="BG32" s="1281">
        <f t="shared" si="52"/>
        <v>11.056514344445299</v>
      </c>
      <c r="BH32" s="1276">
        <f t="shared" si="53"/>
        <v>0.053854941369356514</v>
      </c>
      <c r="BI32" s="292">
        <f t="shared" si="54"/>
        <v>0</v>
      </c>
      <c r="BJ32" s="1207">
        <f t="shared" si="74"/>
      </c>
      <c r="BK32" s="361">
        <f t="shared" si="75"/>
      </c>
      <c r="BL32" s="34">
        <f t="shared" si="76"/>
      </c>
      <c r="BM32" s="1273">
        <f t="shared" si="55"/>
      </c>
      <c r="BN32" s="36"/>
      <c r="BR32" s="4">
        <f t="shared" si="56"/>
        <v>38.41859529787053</v>
      </c>
      <c r="BS32" s="47">
        <f t="shared" si="57"/>
        <v>0</v>
      </c>
      <c r="BT32" s="47">
        <f t="shared" si="58"/>
        <v>2</v>
      </c>
      <c r="BU32" s="5">
        <f t="shared" si="59"/>
        <v>0</v>
      </c>
      <c r="BV32" s="5">
        <f t="shared" si="60"/>
        <v>0</v>
      </c>
      <c r="BW32" s="42">
        <f t="shared" si="61"/>
        <v>0</v>
      </c>
      <c r="BZ32" s="1273">
        <f>0.085/760</f>
        <v>0.00011184210526315791</v>
      </c>
      <c r="CA32" s="15">
        <f t="shared" si="16"/>
        <v>128</v>
      </c>
      <c r="CB32" s="1282">
        <f t="shared" si="17"/>
        <v>0.024786138873206513</v>
      </c>
      <c r="CC32" s="1275">
        <f t="shared" si="18"/>
        <v>14750.726283784647</v>
      </c>
      <c r="CD32" s="1282">
        <f t="shared" si="62"/>
        <v>0.024786190514755183</v>
      </c>
      <c r="CE32" s="31">
        <f t="shared" si="19"/>
        <v>14752.553917300613</v>
      </c>
      <c r="CF32" s="1283">
        <f t="shared" si="20"/>
        <v>15213.763737956731</v>
      </c>
    </row>
    <row r="33" spans="1:84" ht="13.5" thickBot="1">
      <c r="A33" s="8" t="str">
        <f>MainForm!B30</f>
        <v>1-Methyl Naphthalene</v>
      </c>
      <c r="B33" s="80">
        <f>MainForm!G30</f>
        <v>0</v>
      </c>
      <c r="C33" s="37">
        <f t="shared" si="63"/>
        <v>0</v>
      </c>
      <c r="D33" s="51">
        <f t="shared" si="21"/>
        <v>0</v>
      </c>
      <c r="E33" s="62"/>
      <c r="F33" s="46">
        <f t="shared" si="23"/>
        <v>142200</v>
      </c>
      <c r="G33" s="46">
        <f t="shared" si="24"/>
        <v>25</v>
      </c>
      <c r="H33" s="46">
        <f t="shared" si="25"/>
        <v>0.021</v>
      </c>
      <c r="I33" s="46">
        <f t="shared" si="26"/>
        <v>3038</v>
      </c>
      <c r="J33" s="46">
        <f t="shared" si="27"/>
        <v>0</v>
      </c>
      <c r="K33" s="46">
        <f t="shared" si="28"/>
        <v>1025000</v>
      </c>
      <c r="L33" s="38">
        <f t="shared" si="29"/>
        <v>0</v>
      </c>
      <c r="M33" s="39">
        <f t="shared" si="64"/>
        <v>0</v>
      </c>
      <c r="N33" s="40">
        <f t="shared" si="65"/>
        <v>0</v>
      </c>
      <c r="O33" s="64">
        <f t="shared" si="30"/>
        <v>0</v>
      </c>
      <c r="P33" s="4">
        <f t="shared" si="66"/>
        <v>0</v>
      </c>
      <c r="Q33" s="14">
        <f t="shared" si="67"/>
        <v>0</v>
      </c>
      <c r="R33" s="5">
        <f t="shared" si="31"/>
        <v>0</v>
      </c>
      <c r="S33" s="14">
        <f t="shared" si="68"/>
        <v>0</v>
      </c>
      <c r="T33" s="61">
        <f t="shared" si="32"/>
        <v>0</v>
      </c>
      <c r="U33" s="5">
        <f t="shared" si="6"/>
        <v>0</v>
      </c>
      <c r="V33" s="5">
        <f t="shared" si="33"/>
        <v>0</v>
      </c>
      <c r="W33" s="5">
        <f>U33*InputOutput!$U$10*I33</f>
        <v>0</v>
      </c>
      <c r="X33" s="5">
        <f t="shared" si="7"/>
        <v>0</v>
      </c>
      <c r="Y33" s="32">
        <f>InputOutput!$U$11</f>
        <v>20</v>
      </c>
      <c r="Z33" s="5">
        <f t="shared" si="69"/>
        <v>0</v>
      </c>
      <c r="AA33" s="42">
        <f t="shared" si="70"/>
        <v>0</v>
      </c>
      <c r="AB33" s="1271">
        <f t="shared" si="34"/>
        <v>0.05</v>
      </c>
      <c r="AC33" s="1272">
        <f t="shared" si="35"/>
        <v>2</v>
      </c>
      <c r="AD33" s="5">
        <f t="shared" si="36"/>
        <v>0.0025</v>
      </c>
      <c r="AE33" s="5">
        <f t="shared" si="37"/>
        <v>0</v>
      </c>
      <c r="AF33" s="43">
        <f t="shared" si="71"/>
        <v>0</v>
      </c>
      <c r="AG33" s="1273">
        <f>IF($C$6-$O$49&gt;0,U33*InputOutput!$U$7,U33*(InputOutput!$U$6-$O$49))</f>
        <v>0</v>
      </c>
      <c r="AH33" s="1274">
        <f>IF($C$6-$O$49&gt;0,V33*(InputOutput!$U$8-$O$49),0)</f>
        <v>0</v>
      </c>
      <c r="AI33" s="31">
        <f>W33*InputOutput!$U$9</f>
        <v>0</v>
      </c>
      <c r="AJ33" s="1275">
        <f>X33*$O$49</f>
        <v>0</v>
      </c>
      <c r="AK33" s="1276">
        <f>IF(AG33=0,0,AG33/(SUM(AG33:AJ33)))</f>
        <v>0</v>
      </c>
      <c r="AL33" s="1276">
        <f>IF(AH33=0,0,AH33/(SUM(AG33:AJ33)))</f>
        <v>0</v>
      </c>
      <c r="AM33" s="1276">
        <f>IF(AI33=0,0,AI33/(SUM(AG33:AJ33)))</f>
        <v>0</v>
      </c>
      <c r="AN33" s="1277">
        <f>IF(AJ33=0,0,AJ33/(SUM(AG33:AJ33)))</f>
        <v>0</v>
      </c>
      <c r="AO33" s="1331">
        <f>SUM(AK33:AN33)</f>
        <v>0</v>
      </c>
      <c r="AP33" s="31">
        <f t="shared" si="43"/>
        <v>80.9955</v>
      </c>
      <c r="AQ33" s="1279">
        <f t="shared" si="44"/>
        <v>0</v>
      </c>
      <c r="AR33" s="1279">
        <f t="shared" si="45"/>
        <v>0</v>
      </c>
      <c r="AS33" s="1086"/>
      <c r="AT33" s="1086"/>
      <c r="AW33" s="25" t="str">
        <f t="shared" si="12"/>
        <v>1-Methyl Naphthalene</v>
      </c>
      <c r="AX33" s="1280">
        <f t="shared" si="46"/>
        <v>0</v>
      </c>
      <c r="AY33" s="31">
        <f t="shared" si="47"/>
        <v>0</v>
      </c>
      <c r="AZ33" s="31">
        <f t="shared" si="48"/>
        <v>1000</v>
      </c>
      <c r="BA33" s="1279">
        <f t="shared" si="49"/>
        <v>0</v>
      </c>
      <c r="BB33" s="1319">
        <f>Soil_vapor!C30</f>
        <v>5</v>
      </c>
      <c r="BC33" s="1319">
        <f t="shared" si="50"/>
        <v>0</v>
      </c>
      <c r="BD33" s="292">
        <f t="shared" si="51"/>
        <v>0.05</v>
      </c>
      <c r="BE33" s="31">
        <f t="shared" si="13"/>
        <v>0</v>
      </c>
      <c r="BF33" s="43">
        <f t="shared" si="73"/>
        <v>0</v>
      </c>
      <c r="BG33" s="1281">
        <f t="shared" si="52"/>
        <v>0</v>
      </c>
      <c r="BH33" s="1276">
        <f t="shared" si="53"/>
        <v>0</v>
      </c>
      <c r="BI33" s="292">
        <f t="shared" si="54"/>
        <v>0</v>
      </c>
      <c r="BJ33" s="1207">
        <f t="shared" si="74"/>
      </c>
      <c r="BK33" s="361">
        <f t="shared" si="75"/>
      </c>
      <c r="BL33" s="34">
        <f t="shared" si="76"/>
      </c>
      <c r="BM33" s="1273">
        <f t="shared" si="55"/>
      </c>
      <c r="BN33" s="36"/>
      <c r="BR33" s="4">
        <f t="shared" si="56"/>
        <v>0</v>
      </c>
      <c r="BS33" s="47">
        <f t="shared" si="57"/>
        <v>0</v>
      </c>
      <c r="BT33" s="47">
        <f t="shared" si="58"/>
        <v>2</v>
      </c>
      <c r="BU33" s="5">
        <f t="shared" si="59"/>
        <v>0</v>
      </c>
      <c r="BV33" s="5">
        <f t="shared" si="60"/>
        <v>0</v>
      </c>
      <c r="BW33" s="42">
        <f t="shared" si="61"/>
        <v>0</v>
      </c>
      <c r="BZ33" s="1273">
        <f>0.067/760</f>
        <v>8.815789473684211E-05</v>
      </c>
      <c r="CA33" s="15">
        <f t="shared" si="16"/>
        <v>142.2</v>
      </c>
      <c r="CB33" s="1282">
        <f t="shared" si="17"/>
        <v>0</v>
      </c>
      <c r="CC33" s="1275">
        <f t="shared" si="18"/>
        <v>0</v>
      </c>
      <c r="CD33" s="1282">
        <f t="shared" si="62"/>
        <v>0</v>
      </c>
      <c r="CE33" s="31">
        <f t="shared" si="19"/>
        <v>0</v>
      </c>
      <c r="CF33" s="1283">
        <f t="shared" si="20"/>
        <v>0</v>
      </c>
    </row>
    <row r="34" spans="1:84" ht="12.75">
      <c r="A34" s="8" t="str">
        <f>MainForm!B31</f>
        <v>2-Methyl Naphthalene</v>
      </c>
      <c r="B34" s="80">
        <f>MainForm!G31</f>
        <v>0</v>
      </c>
      <c r="C34" s="37">
        <f t="shared" si="63"/>
        <v>0</v>
      </c>
      <c r="D34" s="51">
        <f t="shared" si="21"/>
        <v>0</v>
      </c>
      <c r="E34" s="62"/>
      <c r="F34" s="46">
        <f t="shared" si="23"/>
        <v>142200</v>
      </c>
      <c r="G34" s="46">
        <f t="shared" si="24"/>
        <v>24.6</v>
      </c>
      <c r="H34" s="46">
        <f t="shared" si="25"/>
        <v>0.0212</v>
      </c>
      <c r="I34" s="46">
        <f t="shared" si="26"/>
        <v>2976</v>
      </c>
      <c r="J34" s="46">
        <f t="shared" si="27"/>
        <v>0</v>
      </c>
      <c r="K34" s="46">
        <f t="shared" si="28"/>
        <v>990000</v>
      </c>
      <c r="L34" s="38">
        <f t="shared" si="29"/>
        <v>0</v>
      </c>
      <c r="M34" s="39">
        <f t="shared" si="64"/>
        <v>0</v>
      </c>
      <c r="N34" s="40">
        <f t="shared" si="65"/>
        <v>0</v>
      </c>
      <c r="O34" s="64">
        <f t="shared" si="30"/>
        <v>0</v>
      </c>
      <c r="P34" s="4">
        <f t="shared" si="66"/>
        <v>0</v>
      </c>
      <c r="Q34" s="14">
        <f t="shared" si="67"/>
        <v>0</v>
      </c>
      <c r="R34" s="5">
        <f t="shared" si="31"/>
        <v>0</v>
      </c>
      <c r="S34" s="14">
        <f t="shared" si="68"/>
        <v>0</v>
      </c>
      <c r="T34" s="61">
        <f t="shared" si="32"/>
        <v>0</v>
      </c>
      <c r="U34" s="5">
        <f t="shared" si="6"/>
        <v>0</v>
      </c>
      <c r="V34" s="5">
        <f t="shared" si="33"/>
        <v>0</v>
      </c>
      <c r="W34" s="5">
        <f>U34*InputOutput!$U$10*I34</f>
        <v>0</v>
      </c>
      <c r="X34" s="5">
        <f t="shared" si="7"/>
        <v>0</v>
      </c>
      <c r="Y34" s="32">
        <f>InputOutput!$U$11</f>
        <v>20</v>
      </c>
      <c r="Z34" s="5">
        <f t="shared" si="69"/>
        <v>0</v>
      </c>
      <c r="AA34" s="42">
        <f t="shared" si="70"/>
        <v>0</v>
      </c>
      <c r="AB34" s="1271">
        <f t="shared" si="34"/>
        <v>0.004</v>
      </c>
      <c r="AC34" s="1272">
        <f t="shared" si="35"/>
        <v>2</v>
      </c>
      <c r="AD34" s="5">
        <f t="shared" si="36"/>
        <v>0.03125</v>
      </c>
      <c r="AE34" s="5">
        <f t="shared" si="37"/>
        <v>0</v>
      </c>
      <c r="AF34" s="43">
        <f t="shared" si="71"/>
        <v>0</v>
      </c>
      <c r="AG34" s="1273">
        <f>IF($C$6-$O$49&gt;0,U34*InputOutput!$U$7,U34*(InputOutput!$U$6-$O$49))</f>
        <v>0</v>
      </c>
      <c r="AH34" s="1274">
        <f>IF($C$6-$O$49&gt;0,V34*(InputOutput!$U$8-$O$49),0)</f>
        <v>0</v>
      </c>
      <c r="AI34" s="31">
        <f>W34*InputOutput!$U$9</f>
        <v>0</v>
      </c>
      <c r="AJ34" s="1275">
        <f>X34*$O$49</f>
        <v>0</v>
      </c>
      <c r="AK34" s="1276">
        <f>IF(AG34=0,0,AG34/(SUM(AG34:AJ34)))</f>
        <v>0</v>
      </c>
      <c r="AL34" s="1276">
        <f>IF(AH34=0,0,AH34/(SUM(AG34:AJ34)))</f>
        <v>0</v>
      </c>
      <c r="AM34" s="1276">
        <f>IF(AI34=0,0,AI34/(SUM(AG34:AJ34)))</f>
        <v>0</v>
      </c>
      <c r="AN34" s="1277">
        <f>IF(AJ34=0,0,AJ34/(SUM(AG34:AJ34)))</f>
        <v>0</v>
      </c>
      <c r="AO34" s="1331">
        <f>SUM(AK34:AN34)</f>
        <v>0</v>
      </c>
      <c r="AP34" s="31">
        <f t="shared" si="43"/>
        <v>78.17479840000001</v>
      </c>
      <c r="AQ34" s="1279">
        <f t="shared" si="44"/>
        <v>0</v>
      </c>
      <c r="AR34" s="1279">
        <f t="shared" si="45"/>
        <v>0</v>
      </c>
      <c r="AS34" s="1086"/>
      <c r="AT34" s="1086"/>
      <c r="AW34" s="25" t="str">
        <f t="shared" si="12"/>
        <v>2-Methyl Naphthalene</v>
      </c>
      <c r="AX34" s="1280">
        <f t="shared" si="46"/>
        <v>0</v>
      </c>
      <c r="AY34" s="31">
        <f t="shared" si="47"/>
        <v>0</v>
      </c>
      <c r="AZ34" s="31">
        <f t="shared" si="48"/>
        <v>1000</v>
      </c>
      <c r="BA34" s="1279">
        <f t="shared" si="49"/>
        <v>0</v>
      </c>
      <c r="BB34" s="31">
        <f>Soil_vapor!C31</f>
        <v>5</v>
      </c>
      <c r="BC34" s="31">
        <f t="shared" si="50"/>
        <v>0</v>
      </c>
      <c r="BD34" s="292">
        <f t="shared" si="51"/>
        <v>0.00086</v>
      </c>
      <c r="BE34" s="31">
        <f t="shared" si="13"/>
        <v>0</v>
      </c>
      <c r="BF34" s="43">
        <f t="shared" si="73"/>
        <v>0</v>
      </c>
      <c r="BG34" s="1281">
        <f t="shared" si="52"/>
        <v>0</v>
      </c>
      <c r="BH34" s="1276">
        <f t="shared" si="53"/>
        <v>0</v>
      </c>
      <c r="BI34" s="292">
        <f t="shared" si="54"/>
        <v>0</v>
      </c>
      <c r="BJ34" s="1207">
        <f t="shared" si="74"/>
      </c>
      <c r="BK34" s="361">
        <f t="shared" si="75"/>
      </c>
      <c r="BL34" s="34">
        <f t="shared" si="76"/>
      </c>
      <c r="BM34" s="1273">
        <f t="shared" si="55"/>
      </c>
      <c r="BN34" s="36"/>
      <c r="BR34" s="4">
        <f t="shared" si="56"/>
        <v>0</v>
      </c>
      <c r="BS34" s="47">
        <f t="shared" si="57"/>
        <v>0</v>
      </c>
      <c r="BT34" s="47">
        <f t="shared" si="58"/>
        <v>2</v>
      </c>
      <c r="BU34" s="5">
        <f t="shared" si="59"/>
        <v>0</v>
      </c>
      <c r="BV34" s="5">
        <f t="shared" si="60"/>
        <v>0</v>
      </c>
      <c r="BW34" s="42">
        <f t="shared" si="61"/>
        <v>0</v>
      </c>
      <c r="BZ34" s="1273">
        <f>0.055/760</f>
        <v>7.236842105263159E-05</v>
      </c>
      <c r="CA34" s="15">
        <f t="shared" si="16"/>
        <v>142.2</v>
      </c>
      <c r="CB34" s="1282">
        <f t="shared" si="17"/>
        <v>0</v>
      </c>
      <c r="CC34" s="1275">
        <f t="shared" si="18"/>
        <v>0</v>
      </c>
      <c r="CD34" s="1282">
        <f t="shared" si="62"/>
        <v>0</v>
      </c>
      <c r="CE34" s="31">
        <f t="shared" si="19"/>
        <v>0</v>
      </c>
      <c r="CF34" s="1283">
        <f t="shared" si="20"/>
        <v>0</v>
      </c>
    </row>
    <row r="35" spans="1:84" ht="12.75">
      <c r="A35" s="8" t="str">
        <f>MainForm!B32</f>
        <v>n-Hexane</v>
      </c>
      <c r="B35" s="80">
        <f>MainForm!G32</f>
        <v>0</v>
      </c>
      <c r="C35" s="37">
        <f t="shared" si="63"/>
        <v>0</v>
      </c>
      <c r="D35" s="51">
        <f t="shared" si="21"/>
        <v>0</v>
      </c>
      <c r="E35" s="62"/>
      <c r="F35" s="46">
        <f t="shared" si="23"/>
        <v>86000</v>
      </c>
      <c r="G35" s="46">
        <f t="shared" si="24"/>
        <v>9.5</v>
      </c>
      <c r="H35" s="46">
        <f t="shared" si="25"/>
        <v>74</v>
      </c>
      <c r="I35" s="46">
        <f t="shared" si="26"/>
        <v>3410</v>
      </c>
      <c r="J35" s="46">
        <f t="shared" si="27"/>
        <v>0</v>
      </c>
      <c r="K35" s="46">
        <f t="shared" si="28"/>
        <v>659370</v>
      </c>
      <c r="L35" s="38">
        <f>IF(B35=0,0,K35/F35)</f>
        <v>0</v>
      </c>
      <c r="M35" s="39">
        <f>P35*F35</f>
        <v>0</v>
      </c>
      <c r="N35" s="40">
        <f>R35*F35</f>
        <v>0</v>
      </c>
      <c r="O35" s="2">
        <f>IF(B35=0,0,N35/K35)</f>
        <v>0</v>
      </c>
      <c r="P35" s="4">
        <f aca="true" t="shared" si="77" ref="P35:P45">J35/J$46</f>
        <v>0</v>
      </c>
      <c r="Q35" s="14">
        <f aca="true" t="shared" si="78" ref="Q35:Q45">P35*G35</f>
        <v>0</v>
      </c>
      <c r="R35" s="5">
        <f aca="true" t="shared" si="79" ref="R35:R45">IF(B35=0,0,$F$3*D35/(($F$5+I35*$F$7*$F$3+H35*$F$6+F35*F$8/G35)*G35))</f>
        <v>0</v>
      </c>
      <c r="S35" s="14">
        <f aca="true" t="shared" si="80" ref="S35:S45">R35*G35</f>
        <v>0</v>
      </c>
      <c r="T35" s="61">
        <f aca="true" t="shared" si="81" ref="T35:T45">(D35*$F$3)/($F$5+$F$7*I35*$F$3+H35*$C$6)</f>
        <v>0</v>
      </c>
      <c r="U35" s="5">
        <f t="shared" si="6"/>
        <v>0</v>
      </c>
      <c r="V35" s="5">
        <f aca="true" t="shared" si="82" ref="V35:V45">H35*U35</f>
        <v>0</v>
      </c>
      <c r="W35" s="5">
        <f>U35*InputOutput!$U$10*I35</f>
        <v>0</v>
      </c>
      <c r="X35" s="5">
        <f t="shared" si="7"/>
        <v>0</v>
      </c>
      <c r="Y35" s="32">
        <f>InputOutput!$U$11</f>
        <v>20</v>
      </c>
      <c r="Z35" s="5">
        <f aca="true" t="shared" si="83" ref="Z35:Z45">U35/Y35*1000</f>
        <v>0</v>
      </c>
      <c r="AA35" s="42">
        <f t="shared" si="70"/>
        <v>0</v>
      </c>
      <c r="AB35" s="1271">
        <f t="shared" si="34"/>
        <v>0.06</v>
      </c>
      <c r="AC35" s="1272">
        <f t="shared" si="35"/>
        <v>2</v>
      </c>
      <c r="AD35" s="5">
        <f aca="true" t="shared" si="84" ref="AD35:AD45">IF(AB35=0,0,$AB$7*AC35/($AB$5*$AB$6*AB35))</f>
        <v>0.0020833333333333333</v>
      </c>
      <c r="AE35" s="5">
        <f aca="true" t="shared" si="85" ref="AE35:AE45">AD35*Z35</f>
        <v>0</v>
      </c>
      <c r="AF35" s="43">
        <f t="shared" si="71"/>
        <v>0</v>
      </c>
      <c r="AG35" s="1273">
        <f>IF($C$6-$O$49&gt;0,U35*InputOutput!$U$7,U35*(InputOutput!$U$6-$O$49))</f>
        <v>0</v>
      </c>
      <c r="AH35" s="1274">
        <f>IF($C$6-$O$49&gt;0,V35*(InputOutput!$U$8-$O$49),0)</f>
        <v>0</v>
      </c>
      <c r="AI35" s="31">
        <f>W35*InputOutput!$U$9</f>
        <v>0</v>
      </c>
      <c r="AJ35" s="1275">
        <f aca="true" t="shared" si="86" ref="AJ35:AJ45">X35*$O$49</f>
        <v>0</v>
      </c>
      <c r="AK35" s="1276">
        <f aca="true" t="shared" si="87" ref="AK35:AK45">IF(AG35=0,0,AG35/(SUM(AG35:AJ35)))</f>
        <v>0</v>
      </c>
      <c r="AL35" s="1276">
        <f aca="true" t="shared" si="88" ref="AL35:AL45">IF(AH35=0,0,AH35/(SUM(AG35:AJ35)))</f>
        <v>0</v>
      </c>
      <c r="AM35" s="1276">
        <f aca="true" t="shared" si="89" ref="AM35:AM45">IF(AI35=0,0,AI35/(SUM(AG35:AJ35)))</f>
        <v>0</v>
      </c>
      <c r="AN35" s="1277">
        <f aca="true" t="shared" si="90" ref="AN35:AN45">IF(AJ35=0,0,AJ35/(SUM(AG35:AJ35)))</f>
        <v>0</v>
      </c>
      <c r="AO35" s="1331">
        <f aca="true" t="shared" si="91" ref="AO35:AO45">SUM(AK35:AN35)</f>
        <v>0</v>
      </c>
      <c r="AP35" s="31">
        <f aca="true" t="shared" si="92" ref="AP35:AP45">(G35/$F$3)*(I35*foc*$F$3+$F$5+$C$6*H35)</f>
        <v>95.22166666666666</v>
      </c>
      <c r="AQ35" s="1279">
        <f aca="true" t="shared" si="93" ref="AQ35:AQ45">IF(AG35=0,0,T35/G35)</f>
        <v>0</v>
      </c>
      <c r="AR35" s="1279">
        <f aca="true" t="shared" si="94" ref="AR35:AR45">IF(B35=0,0,M35/K35)</f>
        <v>0</v>
      </c>
      <c r="AS35" s="1086"/>
      <c r="AT35" s="1086"/>
      <c r="AW35" s="25" t="str">
        <f t="shared" si="12"/>
        <v>n-Hexane</v>
      </c>
      <c r="AX35" s="1280">
        <f t="shared" si="46"/>
        <v>0</v>
      </c>
      <c r="AY35" s="31">
        <f t="shared" si="47"/>
        <v>0</v>
      </c>
      <c r="AZ35" s="31">
        <f t="shared" si="48"/>
        <v>1000</v>
      </c>
      <c r="BA35" s="1279">
        <f t="shared" si="49"/>
        <v>0</v>
      </c>
      <c r="BB35" s="31">
        <f>Soil_vapor!C32</f>
        <v>1</v>
      </c>
      <c r="BC35" s="31">
        <f t="shared" si="50"/>
        <v>0</v>
      </c>
      <c r="BD35" s="292">
        <f t="shared" si="51"/>
        <v>0.2</v>
      </c>
      <c r="BE35" s="31">
        <f t="shared" si="13"/>
        <v>0</v>
      </c>
      <c r="BF35" s="43">
        <f t="shared" si="73"/>
        <v>0</v>
      </c>
      <c r="BG35" s="1281">
        <f t="shared" si="52"/>
        <v>0</v>
      </c>
      <c r="BH35" s="1276">
        <f t="shared" si="53"/>
        <v>0</v>
      </c>
      <c r="BI35" s="292">
        <f t="shared" si="54"/>
        <v>0</v>
      </c>
      <c r="BJ35" s="1207">
        <f t="shared" si="74"/>
      </c>
      <c r="BK35" s="361">
        <f t="shared" si="75"/>
      </c>
      <c r="BL35" s="34">
        <f t="shared" si="76"/>
      </c>
      <c r="BM35" s="1273">
        <f t="shared" si="55"/>
      </c>
      <c r="BN35" s="36"/>
      <c r="BR35" s="4">
        <f t="shared" si="56"/>
        <v>0</v>
      </c>
      <c r="BS35" s="47">
        <f t="shared" si="57"/>
        <v>0</v>
      </c>
      <c r="BT35" s="47">
        <f t="shared" si="58"/>
        <v>2</v>
      </c>
      <c r="BU35" s="5">
        <f t="shared" si="59"/>
        <v>0</v>
      </c>
      <c r="BV35" s="5">
        <f t="shared" si="60"/>
        <v>0</v>
      </c>
      <c r="BW35" s="42">
        <f t="shared" si="61"/>
        <v>0</v>
      </c>
      <c r="BZ35" s="1273">
        <v>0.199</v>
      </c>
      <c r="CA35" s="15">
        <f t="shared" si="16"/>
        <v>86</v>
      </c>
      <c r="CB35" s="1282">
        <f t="shared" si="17"/>
        <v>0</v>
      </c>
      <c r="CC35" s="1275">
        <f t="shared" si="18"/>
        <v>0</v>
      </c>
      <c r="CD35" s="1282">
        <f t="shared" si="62"/>
        <v>0</v>
      </c>
      <c r="CE35" s="31">
        <f t="shared" si="19"/>
        <v>0</v>
      </c>
      <c r="CF35" s="1283">
        <f t="shared" si="20"/>
        <v>0</v>
      </c>
    </row>
    <row r="36" spans="1:84" ht="12.75">
      <c r="A36" s="8" t="str">
        <f>MainForm!B33</f>
        <v>MTBE</v>
      </c>
      <c r="B36" s="80">
        <f>MainForm!G33</f>
        <v>0</v>
      </c>
      <c r="C36" s="37">
        <f t="shared" si="63"/>
        <v>0</v>
      </c>
      <c r="D36" s="51">
        <f t="shared" si="21"/>
        <v>0</v>
      </c>
      <c r="E36" s="62"/>
      <c r="F36" s="46">
        <f t="shared" si="23"/>
        <v>88000</v>
      </c>
      <c r="G36" s="46">
        <f t="shared" si="24"/>
        <v>50000</v>
      </c>
      <c r="H36" s="46">
        <f t="shared" si="25"/>
        <v>0.018</v>
      </c>
      <c r="I36" s="46">
        <f t="shared" si="26"/>
        <v>10.9</v>
      </c>
      <c r="J36" s="46">
        <f t="shared" si="27"/>
        <v>0</v>
      </c>
      <c r="K36" s="46">
        <f t="shared" si="28"/>
        <v>744000</v>
      </c>
      <c r="L36" s="38">
        <f aca="true" t="shared" si="95" ref="L36:L45">IF(B36=0,0,K36/F36)</f>
        <v>0</v>
      </c>
      <c r="M36" s="39">
        <f aca="true" t="shared" si="96" ref="M36:M45">P36*F36</f>
        <v>0</v>
      </c>
      <c r="N36" s="40">
        <f aca="true" t="shared" si="97" ref="N36:N45">R36*F36</f>
        <v>0</v>
      </c>
      <c r="O36" s="2">
        <f aca="true" t="shared" si="98" ref="O36:O45">IF(B36=0,0,N36/K36)</f>
        <v>0</v>
      </c>
      <c r="P36" s="4">
        <f t="shared" si="77"/>
        <v>0</v>
      </c>
      <c r="Q36" s="14">
        <f t="shared" si="78"/>
        <v>0</v>
      </c>
      <c r="R36" s="5">
        <f t="shared" si="79"/>
        <v>0</v>
      </c>
      <c r="S36" s="14">
        <f t="shared" si="80"/>
        <v>0</v>
      </c>
      <c r="T36" s="61">
        <f t="shared" si="81"/>
        <v>0</v>
      </c>
      <c r="U36" s="5">
        <f t="shared" si="6"/>
        <v>0</v>
      </c>
      <c r="V36" s="5">
        <f t="shared" si="82"/>
        <v>0</v>
      </c>
      <c r="W36" s="5">
        <f>U36*InputOutput!$U$10*I36</f>
        <v>0</v>
      </c>
      <c r="X36" s="5">
        <f t="shared" si="7"/>
        <v>0</v>
      </c>
      <c r="Y36" s="32">
        <f>InputOutput!$U$11</f>
        <v>20</v>
      </c>
      <c r="Z36" s="5">
        <f t="shared" si="83"/>
        <v>0</v>
      </c>
      <c r="AA36" s="42">
        <f t="shared" si="70"/>
        <v>0</v>
      </c>
      <c r="AB36" s="1271">
        <f t="shared" si="34"/>
        <v>0</v>
      </c>
      <c r="AC36" s="1272">
        <f t="shared" si="35"/>
        <v>2</v>
      </c>
      <c r="AD36" s="5">
        <f t="shared" si="84"/>
        <v>0</v>
      </c>
      <c r="AE36" s="5">
        <f t="shared" si="85"/>
        <v>0</v>
      </c>
      <c r="AF36" s="43">
        <f t="shared" si="71"/>
        <v>0</v>
      </c>
      <c r="AG36" s="1273">
        <f>IF($C$6-$O$49&gt;0,U36*InputOutput!$U$7,U36*(InputOutput!$U$6-$O$49))</f>
        <v>0</v>
      </c>
      <c r="AH36" s="1274">
        <f>IF($C$6-$O$49&gt;0,V36*(InputOutput!$U$8-$O$49),0)</f>
        <v>0</v>
      </c>
      <c r="AI36" s="31">
        <f>W36*InputOutput!$U$9</f>
        <v>0</v>
      </c>
      <c r="AJ36" s="1275">
        <f t="shared" si="86"/>
        <v>0</v>
      </c>
      <c r="AK36" s="1276">
        <f t="shared" si="87"/>
        <v>0</v>
      </c>
      <c r="AL36" s="1276">
        <f t="shared" si="88"/>
        <v>0</v>
      </c>
      <c r="AM36" s="1276">
        <f t="shared" si="89"/>
        <v>0</v>
      </c>
      <c r="AN36" s="1277">
        <f t="shared" si="90"/>
        <v>0</v>
      </c>
      <c r="AO36" s="1331">
        <f t="shared" si="91"/>
        <v>0</v>
      </c>
      <c r="AP36" s="31">
        <f t="shared" si="92"/>
        <v>10623</v>
      </c>
      <c r="AQ36" s="1279">
        <f t="shared" si="93"/>
        <v>0</v>
      </c>
      <c r="AR36" s="1279">
        <f t="shared" si="94"/>
        <v>0</v>
      </c>
      <c r="AS36" s="1086"/>
      <c r="AT36" s="1086"/>
      <c r="AW36" s="25" t="str">
        <f t="shared" si="12"/>
        <v>MTBE</v>
      </c>
      <c r="AX36" s="1280">
        <f t="shared" si="46"/>
        <v>0</v>
      </c>
      <c r="AY36" s="31">
        <f t="shared" si="47"/>
        <v>0</v>
      </c>
      <c r="AZ36" s="31">
        <f t="shared" si="48"/>
        <v>1000</v>
      </c>
      <c r="BA36" s="1279">
        <f t="shared" si="49"/>
        <v>0</v>
      </c>
      <c r="BB36" s="31">
        <f>Soil_vapor!C33</f>
        <v>10</v>
      </c>
      <c r="BC36" s="31">
        <f t="shared" si="50"/>
        <v>0</v>
      </c>
      <c r="BD36" s="292">
        <f t="shared" si="51"/>
        <v>0.857</v>
      </c>
      <c r="BE36" s="31">
        <f t="shared" si="13"/>
        <v>0</v>
      </c>
      <c r="BF36" s="43">
        <f t="shared" si="73"/>
        <v>0</v>
      </c>
      <c r="BG36" s="1281">
        <f t="shared" si="52"/>
        <v>0</v>
      </c>
      <c r="BH36" s="1276">
        <f t="shared" si="53"/>
        <v>0</v>
      </c>
      <c r="BI36" s="292">
        <f t="shared" si="54"/>
        <v>0</v>
      </c>
      <c r="BJ36" s="1207">
        <f t="shared" si="74"/>
      </c>
      <c r="BK36" s="361">
        <f t="shared" si="75"/>
      </c>
      <c r="BL36" s="34">
        <f t="shared" si="76"/>
      </c>
      <c r="BM36" s="1273">
        <f t="shared" si="55"/>
      </c>
      <c r="BN36" s="36"/>
      <c r="BR36" s="4">
        <f t="shared" si="56"/>
        <v>0</v>
      </c>
      <c r="BS36" s="47">
        <f t="shared" si="57"/>
        <v>0</v>
      </c>
      <c r="BT36" s="47">
        <f t="shared" si="58"/>
        <v>2</v>
      </c>
      <c r="BU36" s="5">
        <f t="shared" si="59"/>
        <v>0</v>
      </c>
      <c r="BV36" s="5">
        <f t="shared" si="60"/>
        <v>0</v>
      </c>
      <c r="BW36" s="42">
        <f t="shared" si="61"/>
        <v>0</v>
      </c>
      <c r="BZ36" s="1273">
        <v>0.33</v>
      </c>
      <c r="CA36" s="15">
        <f t="shared" si="16"/>
        <v>88</v>
      </c>
      <c r="CB36" s="1282">
        <f t="shared" si="17"/>
        <v>0</v>
      </c>
      <c r="CC36" s="1275">
        <f t="shared" si="18"/>
        <v>0</v>
      </c>
      <c r="CD36" s="1282">
        <f t="shared" si="62"/>
        <v>0</v>
      </c>
      <c r="CE36" s="31">
        <f t="shared" si="19"/>
        <v>0</v>
      </c>
      <c r="CF36" s="1283">
        <f t="shared" si="20"/>
        <v>0</v>
      </c>
    </row>
    <row r="37" spans="1:84" ht="12.75">
      <c r="A37" s="8" t="str">
        <f>MainForm!B34</f>
        <v>Ethylene Dibromide (EDB)</v>
      </c>
      <c r="B37" s="80">
        <f>MainForm!G34</f>
        <v>0</v>
      </c>
      <c r="C37" s="37">
        <f t="shared" si="63"/>
        <v>0</v>
      </c>
      <c r="D37" s="51">
        <f t="shared" si="21"/>
        <v>0</v>
      </c>
      <c r="E37" s="62"/>
      <c r="F37" s="46">
        <f t="shared" si="23"/>
        <v>187900</v>
      </c>
      <c r="G37" s="46">
        <f t="shared" si="24"/>
        <v>3400</v>
      </c>
      <c r="H37" s="46">
        <f t="shared" si="25"/>
        <v>0.0129</v>
      </c>
      <c r="I37" s="46">
        <f t="shared" si="26"/>
        <v>66</v>
      </c>
      <c r="J37" s="46">
        <f t="shared" si="27"/>
        <v>0</v>
      </c>
      <c r="K37" s="46">
        <f t="shared" si="28"/>
        <v>2170000</v>
      </c>
      <c r="L37" s="38">
        <f t="shared" si="95"/>
        <v>0</v>
      </c>
      <c r="M37" s="39">
        <f t="shared" si="96"/>
        <v>0</v>
      </c>
      <c r="N37" s="40">
        <f t="shared" si="97"/>
        <v>0</v>
      </c>
      <c r="O37" s="2">
        <f t="shared" si="98"/>
        <v>0</v>
      </c>
      <c r="P37" s="4">
        <f t="shared" si="77"/>
        <v>0</v>
      </c>
      <c r="Q37" s="14">
        <f t="shared" si="78"/>
        <v>0</v>
      </c>
      <c r="R37" s="5">
        <f t="shared" si="79"/>
        <v>0</v>
      </c>
      <c r="S37" s="14">
        <f t="shared" si="80"/>
        <v>0</v>
      </c>
      <c r="T37" s="61">
        <f t="shared" si="81"/>
        <v>0</v>
      </c>
      <c r="U37" s="5">
        <f t="shared" si="6"/>
        <v>0</v>
      </c>
      <c r="V37" s="5">
        <f t="shared" si="82"/>
        <v>0</v>
      </c>
      <c r="W37" s="5">
        <f>U37*InputOutput!$U$10*I37</f>
        <v>0</v>
      </c>
      <c r="X37" s="5">
        <f t="shared" si="7"/>
        <v>0</v>
      </c>
      <c r="Y37" s="32">
        <f>InputOutput!$U$11</f>
        <v>20</v>
      </c>
      <c r="Z37" s="5">
        <f t="shared" si="83"/>
        <v>0</v>
      </c>
      <c r="AA37" s="42">
        <f t="shared" si="70"/>
        <v>0</v>
      </c>
      <c r="AB37" s="1271">
        <f t="shared" si="34"/>
        <v>0.009</v>
      </c>
      <c r="AC37" s="1272">
        <f t="shared" si="35"/>
        <v>2</v>
      </c>
      <c r="AD37" s="5">
        <f t="shared" si="84"/>
        <v>0.013888888888888888</v>
      </c>
      <c r="AE37" s="5">
        <f t="shared" si="85"/>
        <v>0</v>
      </c>
      <c r="AF37" s="43">
        <f t="shared" si="71"/>
        <v>0</v>
      </c>
      <c r="AG37" s="1273">
        <f>IF($C$6-$O$49&gt;0,U37*InputOutput!$U$7,U37*(InputOutput!$U$6-$O$49))</f>
        <v>0</v>
      </c>
      <c r="AH37" s="1274">
        <f>IF($C$6-$O$49&gt;0,V37*(InputOutput!$U$8-$O$49),0)</f>
        <v>0</v>
      </c>
      <c r="AI37" s="31">
        <f>W37*InputOutput!$U$9</f>
        <v>0</v>
      </c>
      <c r="AJ37" s="1275">
        <f t="shared" si="86"/>
        <v>0</v>
      </c>
      <c r="AK37" s="1276">
        <f t="shared" si="87"/>
        <v>0</v>
      </c>
      <c r="AL37" s="1276">
        <f t="shared" si="88"/>
        <v>0</v>
      </c>
      <c r="AM37" s="1276">
        <f t="shared" si="89"/>
        <v>0</v>
      </c>
      <c r="AN37" s="1277">
        <f t="shared" si="90"/>
        <v>0</v>
      </c>
      <c r="AO37" s="1331">
        <f t="shared" si="91"/>
        <v>0</v>
      </c>
      <c r="AP37" s="31">
        <f t="shared" si="92"/>
        <v>908.2012</v>
      </c>
      <c r="AQ37" s="1279">
        <f t="shared" si="93"/>
        <v>0</v>
      </c>
      <c r="AR37" s="1279">
        <f t="shared" si="94"/>
        <v>0</v>
      </c>
      <c r="AS37" s="1086"/>
      <c r="AT37" s="1086"/>
      <c r="AW37" s="25" t="str">
        <f t="shared" si="12"/>
        <v>Ethylene Dibromide (EDB)</v>
      </c>
      <c r="AX37" s="1280">
        <f t="shared" si="46"/>
        <v>0</v>
      </c>
      <c r="AY37" s="31">
        <f t="shared" si="47"/>
        <v>0</v>
      </c>
      <c r="AZ37" s="31">
        <f t="shared" si="48"/>
        <v>1000</v>
      </c>
      <c r="BA37" s="1279">
        <f t="shared" si="49"/>
        <v>0</v>
      </c>
      <c r="BB37" s="31">
        <f>Soil_vapor!C34</f>
        <v>0</v>
      </c>
      <c r="BC37" s="31">
        <f t="shared" si="50"/>
        <v>0</v>
      </c>
      <c r="BD37" s="292">
        <f t="shared" si="51"/>
        <v>0.00257</v>
      </c>
      <c r="BE37" s="31">
        <f t="shared" si="13"/>
        <v>0</v>
      </c>
      <c r="BF37" s="43">
        <f t="shared" si="73"/>
        <v>0</v>
      </c>
      <c r="BG37" s="1281">
        <f t="shared" si="52"/>
        <v>0</v>
      </c>
      <c r="BH37" s="1276">
        <f t="shared" si="53"/>
        <v>0</v>
      </c>
      <c r="BI37" s="292">
        <f t="shared" si="54"/>
        <v>0.76</v>
      </c>
      <c r="BJ37" s="1207">
        <f aca="true" t="shared" si="99" ref="BJ37:BJ45">IF(ISERROR(BC37/(($BC$6*$BC$7*1000)/(BI37*$BC$8*1*$BC$9))),"",BC37/(($BC$6*$BC$7*1000)/(BI37*$BC$8*1*$BC$9)))</f>
        <v>0</v>
      </c>
      <c r="BK37" s="1332">
        <f t="shared" si="75"/>
      </c>
      <c r="BL37" s="34">
        <f t="shared" si="76"/>
        <v>0</v>
      </c>
      <c r="BM37" s="1273">
        <f t="shared" si="55"/>
        <v>0</v>
      </c>
      <c r="BN37" s="36"/>
      <c r="BR37" s="4">
        <f t="shared" si="56"/>
        <v>0</v>
      </c>
      <c r="BS37" s="47">
        <f t="shared" si="57"/>
        <v>85</v>
      </c>
      <c r="BT37" s="47">
        <f t="shared" si="58"/>
        <v>2</v>
      </c>
      <c r="BU37" s="5">
        <f t="shared" si="59"/>
        <v>514.7058823529412</v>
      </c>
      <c r="BV37" s="5">
        <f t="shared" si="60"/>
        <v>0</v>
      </c>
      <c r="BW37" s="42">
        <f t="shared" si="61"/>
        <v>0</v>
      </c>
      <c r="BZ37" s="28"/>
      <c r="CA37" s="26"/>
      <c r="CB37" s="1269"/>
      <c r="CC37" s="1275"/>
      <c r="CD37" s="1282"/>
      <c r="CE37" s="31"/>
      <c r="CF37" s="1283"/>
    </row>
    <row r="38" spans="1:84" ht="12.75">
      <c r="A38" s="112" t="str">
        <f>MainForm!B35</f>
        <v>1,2 Dichloroethane (EDC)</v>
      </c>
      <c r="B38" s="1534">
        <f>MainForm!G35</f>
        <v>0</v>
      </c>
      <c r="C38" s="212">
        <f t="shared" si="63"/>
        <v>0</v>
      </c>
      <c r="D38" s="213">
        <f t="shared" si="21"/>
        <v>0</v>
      </c>
      <c r="E38" s="214"/>
      <c r="F38" s="215">
        <f t="shared" si="23"/>
        <v>99000</v>
      </c>
      <c r="G38" s="215">
        <f t="shared" si="24"/>
        <v>8520</v>
      </c>
      <c r="H38" s="215">
        <f t="shared" si="25"/>
        <v>0.0401</v>
      </c>
      <c r="I38" s="215">
        <f t="shared" si="26"/>
        <v>38</v>
      </c>
      <c r="J38" s="215">
        <f t="shared" si="27"/>
        <v>0</v>
      </c>
      <c r="K38" s="215">
        <f t="shared" si="28"/>
        <v>1253000</v>
      </c>
      <c r="L38" s="216">
        <f t="shared" si="95"/>
        <v>0</v>
      </c>
      <c r="M38" s="1284">
        <f t="shared" si="96"/>
        <v>0</v>
      </c>
      <c r="N38" s="1285">
        <f t="shared" si="97"/>
        <v>0</v>
      </c>
      <c r="O38" s="217">
        <f t="shared" si="98"/>
        <v>0</v>
      </c>
      <c r="P38" s="218">
        <f t="shared" si="77"/>
        <v>0</v>
      </c>
      <c r="Q38" s="219">
        <f t="shared" si="78"/>
        <v>0</v>
      </c>
      <c r="R38" s="220">
        <f t="shared" si="79"/>
        <v>0</v>
      </c>
      <c r="S38" s="219">
        <f t="shared" si="80"/>
        <v>0</v>
      </c>
      <c r="T38" s="244">
        <f t="shared" si="81"/>
        <v>0</v>
      </c>
      <c r="U38" s="220">
        <f t="shared" si="6"/>
        <v>0</v>
      </c>
      <c r="V38" s="220">
        <f t="shared" si="82"/>
        <v>0</v>
      </c>
      <c r="W38" s="220">
        <f>U38*InputOutput!$U$10*I38</f>
        <v>0</v>
      </c>
      <c r="X38" s="221">
        <f t="shared" si="7"/>
        <v>0</v>
      </c>
      <c r="Y38" s="1286">
        <f>InputOutput!$U$11</f>
        <v>20</v>
      </c>
      <c r="Z38" s="220">
        <f t="shared" si="83"/>
        <v>0</v>
      </c>
      <c r="AA38" s="1287">
        <f t="shared" si="70"/>
        <v>0</v>
      </c>
      <c r="AB38" s="1288">
        <f t="shared" si="34"/>
        <v>0.03</v>
      </c>
      <c r="AC38" s="1289">
        <f t="shared" si="35"/>
        <v>2</v>
      </c>
      <c r="AD38" s="220">
        <f t="shared" si="84"/>
        <v>0.004166666666666667</v>
      </c>
      <c r="AE38" s="220">
        <f t="shared" si="85"/>
        <v>0</v>
      </c>
      <c r="AF38" s="1290">
        <f t="shared" si="71"/>
        <v>0</v>
      </c>
      <c r="AG38" s="1291">
        <f>IF($C$6-$O$49&gt;0,U38*InputOutput!$U$7,U38*(InputOutput!$U$6-$O$49))</f>
        <v>0</v>
      </c>
      <c r="AH38" s="1292">
        <f>IF($C$6-$O$49&gt;0,V38*(InputOutput!$U$8-$O$49),0)</f>
        <v>0</v>
      </c>
      <c r="AI38" s="1293">
        <f>W38*InputOutput!$U$9</f>
        <v>0</v>
      </c>
      <c r="AJ38" s="1294">
        <f t="shared" si="86"/>
        <v>0</v>
      </c>
      <c r="AK38" s="1295">
        <f t="shared" si="87"/>
        <v>0</v>
      </c>
      <c r="AL38" s="1295">
        <f t="shared" si="88"/>
        <v>0</v>
      </c>
      <c r="AM38" s="1295">
        <f t="shared" si="89"/>
        <v>0</v>
      </c>
      <c r="AN38" s="1296">
        <f t="shared" si="90"/>
        <v>0</v>
      </c>
      <c r="AO38" s="1333">
        <f t="shared" si="91"/>
        <v>0</v>
      </c>
      <c r="AP38" s="1293">
        <f t="shared" si="92"/>
        <v>2057.36984</v>
      </c>
      <c r="AQ38" s="1298">
        <f t="shared" si="93"/>
        <v>0</v>
      </c>
      <c r="AR38" s="1298">
        <f t="shared" si="94"/>
        <v>0</v>
      </c>
      <c r="AS38" s="1086"/>
      <c r="AT38" s="1086"/>
      <c r="AW38" s="25" t="str">
        <f t="shared" si="12"/>
        <v>1,2 Dichloroethane (EDC)</v>
      </c>
      <c r="AX38" s="1280">
        <f t="shared" si="46"/>
        <v>0</v>
      </c>
      <c r="AY38" s="31">
        <f t="shared" si="47"/>
        <v>0</v>
      </c>
      <c r="AZ38" s="31">
        <f t="shared" si="48"/>
        <v>1000</v>
      </c>
      <c r="BA38" s="1279">
        <f t="shared" si="49"/>
        <v>0</v>
      </c>
      <c r="BB38" s="31">
        <f>Soil_vapor!C35</f>
        <v>0</v>
      </c>
      <c r="BC38" s="31">
        <f t="shared" si="50"/>
        <v>0</v>
      </c>
      <c r="BD38" s="292">
        <f t="shared" si="51"/>
        <v>0.0014</v>
      </c>
      <c r="BE38" s="31">
        <f t="shared" si="13"/>
        <v>0</v>
      </c>
      <c r="BF38" s="43">
        <f t="shared" si="73"/>
        <v>0</v>
      </c>
      <c r="BG38" s="1281">
        <f t="shared" si="52"/>
        <v>0</v>
      </c>
      <c r="BH38" s="1276">
        <f t="shared" si="53"/>
        <v>0</v>
      </c>
      <c r="BI38" s="292">
        <f t="shared" si="54"/>
        <v>0.091</v>
      </c>
      <c r="BJ38" s="1207">
        <f t="shared" si="99"/>
        <v>0</v>
      </c>
      <c r="BK38" s="1332">
        <f t="shared" si="75"/>
      </c>
      <c r="BL38" s="34">
        <f t="shared" si="76"/>
        <v>0</v>
      </c>
      <c r="BM38" s="1273">
        <f t="shared" si="55"/>
        <v>0</v>
      </c>
      <c r="BN38" s="36"/>
      <c r="BR38" s="218">
        <f t="shared" si="56"/>
        <v>0</v>
      </c>
      <c r="BS38" s="138">
        <f t="shared" si="57"/>
        <v>0.091</v>
      </c>
      <c r="BT38" s="138">
        <f t="shared" si="58"/>
        <v>2</v>
      </c>
      <c r="BU38" s="220">
        <f t="shared" si="59"/>
        <v>480769.23076923075</v>
      </c>
      <c r="BV38" s="220">
        <f t="shared" si="60"/>
        <v>0</v>
      </c>
      <c r="BW38" s="1287">
        <f t="shared" si="61"/>
        <v>0</v>
      </c>
      <c r="BZ38" s="28"/>
      <c r="CA38" s="26"/>
      <c r="CB38" s="1269"/>
      <c r="CC38" s="1275"/>
      <c r="CD38" s="1282"/>
      <c r="CE38" s="31"/>
      <c r="CF38" s="1283"/>
    </row>
    <row r="39" spans="1:84" ht="12.75">
      <c r="A39" s="8" t="str">
        <f>MainForm!B36</f>
        <v>Benzo(a)anthracene</v>
      </c>
      <c r="B39" s="80">
        <f>MainForm!G36</f>
        <v>0</v>
      </c>
      <c r="C39" s="37">
        <f t="shared" si="63"/>
        <v>0</v>
      </c>
      <c r="D39" s="51">
        <f t="shared" si="21"/>
        <v>0</v>
      </c>
      <c r="E39" s="62"/>
      <c r="F39" s="46">
        <f t="shared" si="23"/>
        <v>228300</v>
      </c>
      <c r="G39" s="46">
        <f t="shared" si="24"/>
        <v>0.0094</v>
      </c>
      <c r="H39" s="46">
        <f t="shared" si="25"/>
        <v>0.000137</v>
      </c>
      <c r="I39" s="46">
        <f t="shared" si="26"/>
        <v>357537</v>
      </c>
      <c r="J39" s="46">
        <f t="shared" si="27"/>
        <v>0</v>
      </c>
      <c r="K39" s="46">
        <f t="shared" si="28"/>
        <v>1274000</v>
      </c>
      <c r="L39" s="38">
        <f t="shared" si="95"/>
        <v>0</v>
      </c>
      <c r="M39" s="39">
        <f t="shared" si="96"/>
        <v>0</v>
      </c>
      <c r="N39" s="40">
        <f t="shared" si="97"/>
        <v>0</v>
      </c>
      <c r="O39" s="2">
        <f t="shared" si="98"/>
        <v>0</v>
      </c>
      <c r="P39" s="4">
        <f t="shared" si="77"/>
        <v>0</v>
      </c>
      <c r="Q39" s="14">
        <f t="shared" si="78"/>
        <v>0</v>
      </c>
      <c r="R39" s="5">
        <f t="shared" si="79"/>
        <v>0</v>
      </c>
      <c r="S39" s="14">
        <f t="shared" si="80"/>
        <v>0</v>
      </c>
      <c r="T39" s="61">
        <f t="shared" si="81"/>
        <v>0</v>
      </c>
      <c r="U39" s="5">
        <f t="shared" si="6"/>
        <v>0</v>
      </c>
      <c r="V39" s="5">
        <f t="shared" si="82"/>
        <v>0</v>
      </c>
      <c r="W39" s="5">
        <f>U39*InputOutput!$U$10*I39</f>
        <v>0</v>
      </c>
      <c r="X39" s="5">
        <f t="shared" si="7"/>
        <v>0</v>
      </c>
      <c r="Y39" s="32">
        <f>InputOutput!$U$11</f>
        <v>20</v>
      </c>
      <c r="Z39" s="5">
        <f t="shared" si="83"/>
        <v>0</v>
      </c>
      <c r="AA39" s="42">
        <f t="shared" si="70"/>
        <v>0</v>
      </c>
      <c r="AB39" s="1271">
        <f t="shared" si="34"/>
        <v>0</v>
      </c>
      <c r="AC39" s="1272">
        <f t="shared" si="35"/>
        <v>1</v>
      </c>
      <c r="AD39" s="5">
        <f t="shared" si="84"/>
        <v>0</v>
      </c>
      <c r="AE39" s="5">
        <f t="shared" si="85"/>
        <v>0</v>
      </c>
      <c r="AF39" s="43">
        <f t="shared" si="71"/>
        <v>0</v>
      </c>
      <c r="AG39" s="1273">
        <f>IF($C$6-$O$49&gt;0,U39*InputOutput!$U$7,U39*(InputOutput!$U$6-$O$49))</f>
        <v>0</v>
      </c>
      <c r="AH39" s="1274">
        <f>IF($C$6-$O$49&gt;0,V39*(InputOutput!$U$8-$O$49),0)</f>
        <v>0</v>
      </c>
      <c r="AI39" s="31">
        <f>W39*InputOutput!$U$9</f>
        <v>0</v>
      </c>
      <c r="AJ39" s="1275">
        <f t="shared" si="86"/>
        <v>0</v>
      </c>
      <c r="AK39" s="1276">
        <f t="shared" si="87"/>
        <v>0</v>
      </c>
      <c r="AL39" s="1276">
        <f t="shared" si="88"/>
        <v>0</v>
      </c>
      <c r="AM39" s="1276">
        <f t="shared" si="89"/>
        <v>0</v>
      </c>
      <c r="AN39" s="1277">
        <f t="shared" si="90"/>
        <v>0</v>
      </c>
      <c r="AO39" s="1331">
        <f t="shared" si="91"/>
        <v>0</v>
      </c>
      <c r="AP39" s="31">
        <f t="shared" si="92"/>
        <v>3.362727911609334</v>
      </c>
      <c r="AQ39" s="1279">
        <f t="shared" si="93"/>
        <v>0</v>
      </c>
      <c r="AR39" s="1279">
        <f t="shared" si="94"/>
        <v>0</v>
      </c>
      <c r="AS39" s="1086"/>
      <c r="AT39" s="1086"/>
      <c r="AW39" s="25" t="str">
        <f t="shared" si="12"/>
        <v>Benzo(a)anthracene</v>
      </c>
      <c r="AX39" s="1280">
        <f t="shared" si="46"/>
        <v>0</v>
      </c>
      <c r="AY39" s="31">
        <f t="shared" si="47"/>
        <v>0</v>
      </c>
      <c r="AZ39" s="31">
        <f t="shared" si="48"/>
        <v>1000</v>
      </c>
      <c r="BA39" s="1279">
        <f t="shared" si="49"/>
        <v>0</v>
      </c>
      <c r="BB39" s="31">
        <f>Soil_vapor!C36</f>
        <v>0</v>
      </c>
      <c r="BC39" s="31">
        <f t="shared" si="50"/>
        <v>0</v>
      </c>
      <c r="BD39" s="292">
        <f t="shared" si="51"/>
        <v>0</v>
      </c>
      <c r="BE39" s="31">
        <f t="shared" si="13"/>
        <v>0</v>
      </c>
      <c r="BF39" s="43">
        <f t="shared" si="73"/>
        <v>0</v>
      </c>
      <c r="BG39" s="1281">
        <f t="shared" si="52"/>
        <v>0</v>
      </c>
      <c r="BH39" s="1276">
        <f t="shared" si="53"/>
        <v>0</v>
      </c>
      <c r="BI39" s="292">
        <f t="shared" si="54"/>
        <v>0.61</v>
      </c>
      <c r="BJ39" s="1207">
        <f t="shared" si="99"/>
        <v>0</v>
      </c>
      <c r="BK39" s="1332">
        <f t="shared" si="75"/>
      </c>
      <c r="BL39" s="34">
        <f t="shared" si="76"/>
        <v>0</v>
      </c>
      <c r="BM39" s="1273">
        <f t="shared" si="55"/>
        <v>0</v>
      </c>
      <c r="BN39" s="36"/>
      <c r="BR39" s="4">
        <f t="shared" si="56"/>
        <v>0</v>
      </c>
      <c r="BS39" s="47">
        <f t="shared" si="57"/>
        <v>0.73</v>
      </c>
      <c r="BT39" s="47">
        <f t="shared" si="58"/>
        <v>1</v>
      </c>
      <c r="BU39" s="5">
        <f t="shared" si="59"/>
        <v>119863.01369863015</v>
      </c>
      <c r="BV39" s="5">
        <f t="shared" si="60"/>
        <v>0</v>
      </c>
      <c r="BW39" s="42">
        <f t="shared" si="61"/>
        <v>0</v>
      </c>
      <c r="BZ39" s="28"/>
      <c r="CA39" s="26"/>
      <c r="CB39" s="1269"/>
      <c r="CC39" s="1275"/>
      <c r="CD39" s="1282"/>
      <c r="CE39" s="31"/>
      <c r="CF39" s="1283"/>
    </row>
    <row r="40" spans="1:84" ht="12.75">
      <c r="A40" s="8" t="str">
        <f>MainForm!B37</f>
        <v>Benzo(b)fluoranthene</v>
      </c>
      <c r="B40" s="80">
        <f>MainForm!G37</f>
        <v>0</v>
      </c>
      <c r="C40" s="37">
        <f t="shared" si="63"/>
        <v>0</v>
      </c>
      <c r="D40" s="51">
        <f t="shared" si="21"/>
        <v>0</v>
      </c>
      <c r="E40" s="62"/>
      <c r="F40" s="46">
        <f t="shared" si="23"/>
        <v>252300</v>
      </c>
      <c r="G40" s="46">
        <f t="shared" si="24"/>
        <v>0.0015</v>
      </c>
      <c r="H40" s="46">
        <f t="shared" si="25"/>
        <v>0.00455</v>
      </c>
      <c r="I40" s="46">
        <f t="shared" si="26"/>
        <v>1230000</v>
      </c>
      <c r="J40" s="46">
        <f t="shared" si="27"/>
        <v>0</v>
      </c>
      <c r="K40" s="46">
        <f t="shared" si="28"/>
        <v>1300000</v>
      </c>
      <c r="L40" s="38">
        <f t="shared" si="95"/>
        <v>0</v>
      </c>
      <c r="M40" s="39">
        <f t="shared" si="96"/>
        <v>0</v>
      </c>
      <c r="N40" s="40">
        <f t="shared" si="97"/>
        <v>0</v>
      </c>
      <c r="O40" s="2">
        <f t="shared" si="98"/>
        <v>0</v>
      </c>
      <c r="P40" s="4">
        <f t="shared" si="77"/>
        <v>0</v>
      </c>
      <c r="Q40" s="14">
        <f t="shared" si="78"/>
        <v>0</v>
      </c>
      <c r="R40" s="5">
        <f t="shared" si="79"/>
        <v>0</v>
      </c>
      <c r="S40" s="14">
        <f t="shared" si="80"/>
        <v>0</v>
      </c>
      <c r="T40" s="61">
        <f t="shared" si="81"/>
        <v>0</v>
      </c>
      <c r="U40" s="5">
        <f t="shared" si="6"/>
        <v>0</v>
      </c>
      <c r="V40" s="5">
        <f t="shared" si="82"/>
        <v>0</v>
      </c>
      <c r="W40" s="5">
        <f>U40*InputOutput!$U$10*I40</f>
        <v>0</v>
      </c>
      <c r="X40" s="5">
        <f t="shared" si="7"/>
        <v>0</v>
      </c>
      <c r="Y40" s="32">
        <f>InputOutput!$U$11</f>
        <v>20</v>
      </c>
      <c r="Z40" s="5">
        <f t="shared" si="83"/>
        <v>0</v>
      </c>
      <c r="AA40" s="42">
        <f t="shared" si="70"/>
        <v>0</v>
      </c>
      <c r="AB40" s="1271">
        <f t="shared" si="34"/>
        <v>0</v>
      </c>
      <c r="AC40" s="1272">
        <f t="shared" si="35"/>
        <v>1</v>
      </c>
      <c r="AD40" s="5">
        <f t="shared" si="84"/>
        <v>0</v>
      </c>
      <c r="AE40" s="5">
        <f t="shared" si="85"/>
        <v>0</v>
      </c>
      <c r="AF40" s="43">
        <f t="shared" si="71"/>
        <v>0</v>
      </c>
      <c r="AG40" s="1273">
        <f>IF($C$6-$O$49&gt;0,U40*InputOutput!$U$7,U40*(InputOutput!$U$6-$O$49))</f>
        <v>0</v>
      </c>
      <c r="AH40" s="1274">
        <f>IF($C$6-$O$49&gt;0,V40*(InputOutput!$U$8-$O$49),0)</f>
        <v>0</v>
      </c>
      <c r="AI40" s="31">
        <f>W40*InputOutput!$U$9</f>
        <v>0</v>
      </c>
      <c r="AJ40" s="1275">
        <f t="shared" si="86"/>
        <v>0</v>
      </c>
      <c r="AK40" s="1276">
        <f t="shared" si="87"/>
        <v>0</v>
      </c>
      <c r="AL40" s="1276">
        <f t="shared" si="88"/>
        <v>0</v>
      </c>
      <c r="AM40" s="1276">
        <f t="shared" si="89"/>
        <v>0</v>
      </c>
      <c r="AN40" s="1277">
        <f t="shared" si="90"/>
        <v>0</v>
      </c>
      <c r="AO40" s="1331">
        <f t="shared" si="91"/>
        <v>0</v>
      </c>
      <c r="AP40" s="31">
        <f t="shared" si="92"/>
        <v>1.8453005915</v>
      </c>
      <c r="AQ40" s="1279">
        <f t="shared" si="93"/>
        <v>0</v>
      </c>
      <c r="AR40" s="1279">
        <f t="shared" si="94"/>
        <v>0</v>
      </c>
      <c r="AS40" s="1086"/>
      <c r="AT40" s="1086"/>
      <c r="AW40" s="25" t="str">
        <f t="shared" si="12"/>
        <v>Benzo(b)fluoranthene</v>
      </c>
      <c r="AX40" s="1280">
        <f t="shared" si="46"/>
        <v>0</v>
      </c>
      <c r="AY40" s="31">
        <f t="shared" si="47"/>
        <v>0</v>
      </c>
      <c r="AZ40" s="31">
        <f t="shared" si="48"/>
        <v>1000</v>
      </c>
      <c r="BA40" s="1279">
        <f t="shared" si="49"/>
        <v>0</v>
      </c>
      <c r="BB40" s="31">
        <f>Soil_vapor!C37</f>
        <v>0</v>
      </c>
      <c r="BC40" s="31">
        <f t="shared" si="50"/>
        <v>0</v>
      </c>
      <c r="BD40" s="292">
        <f t="shared" si="51"/>
        <v>0</v>
      </c>
      <c r="BE40" s="31">
        <f t="shared" si="13"/>
        <v>0</v>
      </c>
      <c r="BF40" s="43">
        <f t="shared" si="73"/>
        <v>0</v>
      </c>
      <c r="BG40" s="1281">
        <f t="shared" si="52"/>
        <v>0</v>
      </c>
      <c r="BH40" s="1276">
        <f t="shared" si="53"/>
        <v>0</v>
      </c>
      <c r="BI40" s="292">
        <f t="shared" si="54"/>
        <v>0.61</v>
      </c>
      <c r="BJ40" s="1207">
        <f t="shared" si="99"/>
        <v>0</v>
      </c>
      <c r="BK40" s="1332">
        <f t="shared" si="75"/>
      </c>
      <c r="BL40" s="34">
        <f t="shared" si="76"/>
        <v>0</v>
      </c>
      <c r="BM40" s="1273">
        <f t="shared" si="55"/>
        <v>0</v>
      </c>
      <c r="BN40" s="36"/>
      <c r="BR40" s="4">
        <f t="shared" si="56"/>
        <v>0</v>
      </c>
      <c r="BS40" s="47">
        <f t="shared" si="57"/>
        <v>0.73</v>
      </c>
      <c r="BT40" s="47">
        <f t="shared" si="58"/>
        <v>1</v>
      </c>
      <c r="BU40" s="5">
        <f t="shared" si="59"/>
        <v>119863.01369863015</v>
      </c>
      <c r="BV40" s="5">
        <f t="shared" si="60"/>
        <v>0</v>
      </c>
      <c r="BW40" s="42">
        <f t="shared" si="61"/>
        <v>0</v>
      </c>
      <c r="BZ40" s="28"/>
      <c r="CA40" s="26"/>
      <c r="CB40" s="1269"/>
      <c r="CC40" s="1275"/>
      <c r="CD40" s="1282"/>
      <c r="CE40" s="31"/>
      <c r="CF40" s="1283"/>
    </row>
    <row r="41" spans="1:84" ht="12.75">
      <c r="A41" s="8" t="str">
        <f>MainForm!B38</f>
        <v>Benzo(k)fluoranthene</v>
      </c>
      <c r="B41" s="80">
        <f>MainForm!G38</f>
        <v>1</v>
      </c>
      <c r="C41" s="37">
        <f t="shared" si="63"/>
        <v>0.0011832219132698338</v>
      </c>
      <c r="D41" s="51">
        <f t="shared" si="21"/>
        <v>59.16109566349194</v>
      </c>
      <c r="E41" s="62"/>
      <c r="F41" s="46">
        <f t="shared" si="23"/>
        <v>252300</v>
      </c>
      <c r="G41" s="46">
        <f t="shared" si="24"/>
        <v>0.0008</v>
      </c>
      <c r="H41" s="46">
        <f t="shared" si="25"/>
        <v>3.4E-05</v>
      </c>
      <c r="I41" s="46">
        <f t="shared" si="26"/>
        <v>1230000</v>
      </c>
      <c r="J41" s="46">
        <f t="shared" si="27"/>
        <v>0.00023448710132180714</v>
      </c>
      <c r="K41" s="46">
        <f t="shared" si="28"/>
        <v>1300000</v>
      </c>
      <c r="L41" s="38">
        <f t="shared" si="95"/>
        <v>5.152596115735236</v>
      </c>
      <c r="M41" s="39">
        <f t="shared" si="96"/>
        <v>211.5083850513622</v>
      </c>
      <c r="N41" s="40">
        <f t="shared" si="97"/>
        <v>211.76123265925278</v>
      </c>
      <c r="O41" s="2">
        <f t="shared" si="98"/>
        <v>0.0001628932558917329</v>
      </c>
      <c r="P41" s="4">
        <f t="shared" si="77"/>
        <v>0.0008383209871239089</v>
      </c>
      <c r="Q41" s="14">
        <f t="shared" si="78"/>
        <v>6.706567896991272E-07</v>
      </c>
      <c r="R41" s="5">
        <f t="shared" si="79"/>
        <v>0.0008393231575872088</v>
      </c>
      <c r="S41" s="14">
        <f t="shared" si="80"/>
        <v>6.714585260697671E-07</v>
      </c>
      <c r="T41" s="61">
        <f t="shared" si="81"/>
        <v>0.048090632028763514</v>
      </c>
      <c r="U41" s="5">
        <f t="shared" si="6"/>
        <v>6.714585260697671E-07</v>
      </c>
      <c r="V41" s="5">
        <f t="shared" si="82"/>
        <v>2.2829589886372082E-11</v>
      </c>
      <c r="W41" s="5">
        <f>U41*InputOutput!$U$10*I41</f>
        <v>0.0008258939870658135</v>
      </c>
      <c r="X41" s="5">
        <f t="shared" si="7"/>
        <v>990.1715431713617</v>
      </c>
      <c r="Y41" s="32">
        <f>InputOutput!$U$11</f>
        <v>20</v>
      </c>
      <c r="Z41" s="5">
        <f t="shared" si="83"/>
        <v>3.357292630348835E-05</v>
      </c>
      <c r="AA41" s="42">
        <f t="shared" si="70"/>
        <v>3.5604235763044507E-08</v>
      </c>
      <c r="AB41" s="1271">
        <f t="shared" si="34"/>
        <v>0</v>
      </c>
      <c r="AC41" s="1272">
        <f t="shared" si="35"/>
        <v>1</v>
      </c>
      <c r="AD41" s="5">
        <f t="shared" si="84"/>
        <v>0</v>
      </c>
      <c r="AE41" s="5">
        <f t="shared" si="85"/>
        <v>0</v>
      </c>
      <c r="AF41" s="43">
        <f t="shared" si="71"/>
        <v>0</v>
      </c>
      <c r="AG41" s="1273">
        <f>IF($C$6-$O$49&gt;0,U41*InputOutput!$U$7,U41*(InputOutput!$U$6-$O$49))</f>
        <v>2.0143755782093013E-07</v>
      </c>
      <c r="AH41" s="1274">
        <f>IF($C$6-$O$49&gt;0,V41*(InputOutput!$U$8-$O$49),0)</f>
        <v>9.218304631099924E-13</v>
      </c>
      <c r="AI41" s="31">
        <f>W41*InputOutput!$U$9</f>
        <v>0.0012388409805987202</v>
      </c>
      <c r="AJ41" s="1275">
        <f t="shared" si="86"/>
        <v>88.74040445281679</v>
      </c>
      <c r="AK41" s="1276">
        <f t="shared" si="87"/>
        <v>2.2699326932314973E-09</v>
      </c>
      <c r="AL41" s="1276">
        <f t="shared" si="88"/>
        <v>1.0387800211965662E-14</v>
      </c>
      <c r="AM41" s="1276">
        <f t="shared" si="89"/>
        <v>1.3960086063373708E-05</v>
      </c>
      <c r="AN41" s="1277">
        <f t="shared" si="90"/>
        <v>0.9999860376439936</v>
      </c>
      <c r="AO41" s="1331">
        <f t="shared" si="91"/>
        <v>1</v>
      </c>
      <c r="AP41" s="31">
        <f t="shared" si="92"/>
        <v>0.9841600023573334</v>
      </c>
      <c r="AQ41" s="1279">
        <f t="shared" si="93"/>
        <v>60.11329003595439</v>
      </c>
      <c r="AR41" s="1279">
        <f t="shared" si="94"/>
        <v>0.0001626987577318171</v>
      </c>
      <c r="AS41" s="1086"/>
      <c r="AT41" s="1086"/>
      <c r="AW41" s="25" t="str">
        <f t="shared" si="12"/>
        <v>Benzo(k)fluoranthene</v>
      </c>
      <c r="AX41" s="1280">
        <f t="shared" si="46"/>
        <v>59.16109566349194</v>
      </c>
      <c r="AY41" s="31">
        <f t="shared" si="47"/>
        <v>2.2829589886372084E-05</v>
      </c>
      <c r="AZ41" s="31">
        <f t="shared" si="48"/>
        <v>1000</v>
      </c>
      <c r="BA41" s="1279">
        <f t="shared" si="49"/>
        <v>2.2829589886372084E-08</v>
      </c>
      <c r="BB41" s="31">
        <f>Soil_vapor!C38</f>
        <v>0</v>
      </c>
      <c r="BC41" s="31">
        <f t="shared" si="50"/>
        <v>2.2829589886372084E-08</v>
      </c>
      <c r="BD41" s="292">
        <f t="shared" si="51"/>
        <v>0</v>
      </c>
      <c r="BE41" s="31">
        <f t="shared" si="13"/>
        <v>0</v>
      </c>
      <c r="BF41" s="43">
        <f t="shared" si="73"/>
        <v>0</v>
      </c>
      <c r="BG41" s="1281">
        <f t="shared" si="52"/>
        <v>0</v>
      </c>
      <c r="BH41" s="1276">
        <f t="shared" si="53"/>
        <v>0</v>
      </c>
      <c r="BI41" s="292">
        <f t="shared" si="54"/>
        <v>0.61</v>
      </c>
      <c r="BJ41" s="1207">
        <f t="shared" si="99"/>
        <v>1.591548552078511E-12</v>
      </c>
      <c r="BK41" s="1332">
        <f t="shared" si="75"/>
      </c>
      <c r="BL41" s="34">
        <f t="shared" si="76"/>
        <v>0</v>
      </c>
      <c r="BM41" s="1273">
        <f t="shared" si="55"/>
        <v>1.591548552078511E-12</v>
      </c>
      <c r="BN41" s="36"/>
      <c r="BR41" s="4">
        <f t="shared" si="56"/>
        <v>3.357292630348835E-05</v>
      </c>
      <c r="BS41" s="47">
        <f t="shared" si="57"/>
        <v>0.73</v>
      </c>
      <c r="BT41" s="47">
        <f t="shared" si="58"/>
        <v>1</v>
      </c>
      <c r="BU41" s="5">
        <f t="shared" si="59"/>
        <v>119863.01369863015</v>
      </c>
      <c r="BV41" s="5">
        <f t="shared" si="60"/>
        <v>2.800941280176742E-10</v>
      </c>
      <c r="BW41" s="42">
        <f t="shared" si="61"/>
        <v>3.196765116316211E-05</v>
      </c>
      <c r="BZ41" s="1533"/>
      <c r="CA41" s="26"/>
      <c r="CB41" s="1269"/>
      <c r="CC41" s="1275"/>
      <c r="CD41" s="1282"/>
      <c r="CE41" s="31"/>
      <c r="CF41" s="1283"/>
    </row>
    <row r="42" spans="1:84" ht="12.75">
      <c r="A42" s="8" t="str">
        <f>MainForm!B39</f>
        <v>Benzo(a)pyrene</v>
      </c>
      <c r="B42" s="80">
        <f>MainForm!G39</f>
        <v>0.07</v>
      </c>
      <c r="C42" s="37">
        <f t="shared" si="63"/>
        <v>8.282553392888837E-05</v>
      </c>
      <c r="D42" s="51">
        <f t="shared" si="21"/>
        <v>4.141276696444436</v>
      </c>
      <c r="E42" s="62"/>
      <c r="F42" s="46">
        <f t="shared" si="23"/>
        <v>252300</v>
      </c>
      <c r="G42" s="46">
        <f t="shared" si="24"/>
        <v>0.00162</v>
      </c>
      <c r="H42" s="46">
        <f t="shared" si="25"/>
        <v>4.63E-05</v>
      </c>
      <c r="I42" s="46">
        <f t="shared" si="26"/>
        <v>968774</v>
      </c>
      <c r="J42" s="46">
        <f t="shared" si="27"/>
        <v>1.64140970925265E-05</v>
      </c>
      <c r="K42" s="46">
        <f t="shared" si="28"/>
        <v>1300000</v>
      </c>
      <c r="L42" s="38">
        <f t="shared" si="95"/>
        <v>5.152596115735236</v>
      </c>
      <c r="M42" s="39">
        <f t="shared" si="96"/>
        <v>14.805586953595355</v>
      </c>
      <c r="N42" s="40">
        <f t="shared" si="97"/>
        <v>14.823163140646177</v>
      </c>
      <c r="O42" s="2">
        <f t="shared" si="98"/>
        <v>1.1402433185112443E-05</v>
      </c>
      <c r="P42" s="4">
        <f t="shared" si="77"/>
        <v>5.868246909867363E-05</v>
      </c>
      <c r="Q42" s="14">
        <f t="shared" si="78"/>
        <v>9.506559993985127E-08</v>
      </c>
      <c r="R42" s="5">
        <f t="shared" si="79"/>
        <v>5.875213293954093E-05</v>
      </c>
      <c r="S42" s="14">
        <f t="shared" si="80"/>
        <v>9.51784553620563E-08</v>
      </c>
      <c r="T42" s="61">
        <f t="shared" si="81"/>
        <v>0.0042738780187030695</v>
      </c>
      <c r="U42" s="5">
        <f t="shared" si="6"/>
        <v>9.51784553620563E-08</v>
      </c>
      <c r="V42" s="5">
        <f t="shared" si="82"/>
        <v>4.406762483263207E-12</v>
      </c>
      <c r="W42" s="5">
        <f>U42*InputOutput!$U$10*I42</f>
        <v>9.220641291492074E-05</v>
      </c>
      <c r="X42" s="5">
        <f t="shared" si="7"/>
        <v>69.31143220757573</v>
      </c>
      <c r="Y42" s="32">
        <f>InputOutput!$U$11</f>
        <v>20</v>
      </c>
      <c r="Z42" s="5">
        <f t="shared" si="83"/>
        <v>4.7589227681028144E-06</v>
      </c>
      <c r="AA42" s="42">
        <f t="shared" si="70"/>
        <v>5.046858491928592E-09</v>
      </c>
      <c r="AB42" s="1271">
        <f t="shared" si="34"/>
        <v>0</v>
      </c>
      <c r="AC42" s="1272">
        <f t="shared" si="35"/>
        <v>1</v>
      </c>
      <c r="AD42" s="5">
        <f t="shared" si="84"/>
        <v>0</v>
      </c>
      <c r="AE42" s="5">
        <f t="shared" si="85"/>
        <v>0</v>
      </c>
      <c r="AF42" s="43">
        <f t="shared" si="71"/>
        <v>0</v>
      </c>
      <c r="AG42" s="1273">
        <f>IF($C$6-$O$49&gt;0,U42*InputOutput!$U$7,U42*(InputOutput!$U$6-$O$49))</f>
        <v>2.8553536608616886E-08</v>
      </c>
      <c r="AH42" s="1274">
        <f>IF($C$6-$O$49&gt;0,V42*(InputOutput!$U$8-$O$49),0)</f>
        <v>1.7793959159937462E-13</v>
      </c>
      <c r="AI42" s="31">
        <f>W42*InputOutput!$U$9</f>
        <v>0.0001383096193723811</v>
      </c>
      <c r="AJ42" s="1275">
        <f t="shared" si="86"/>
        <v>6.211776706493172</v>
      </c>
      <c r="AK42" s="1276">
        <f t="shared" si="87"/>
        <v>4.5965755170998086E-09</v>
      </c>
      <c r="AL42" s="1276">
        <f t="shared" si="88"/>
        <v>2.864488492194674E-14</v>
      </c>
      <c r="AM42" s="1276">
        <f t="shared" si="89"/>
        <v>2.2265214250014253E-05</v>
      </c>
      <c r="AN42" s="1277">
        <f t="shared" si="90"/>
        <v>0.9999777301891458</v>
      </c>
      <c r="AO42" s="1331">
        <f t="shared" si="91"/>
        <v>1</v>
      </c>
      <c r="AP42" s="31">
        <f t="shared" si="92"/>
        <v>1.56973788650052</v>
      </c>
      <c r="AQ42" s="1279">
        <f t="shared" si="93"/>
        <v>2.638196307841401</v>
      </c>
      <c r="AR42" s="1279">
        <f t="shared" si="94"/>
        <v>1.1388913041227197E-05</v>
      </c>
      <c r="AS42" s="1086"/>
      <c r="AT42" s="1086"/>
      <c r="AW42" s="25" t="str">
        <f t="shared" si="12"/>
        <v>Benzo(a)pyrene</v>
      </c>
      <c r="AX42" s="1280">
        <f t="shared" si="46"/>
        <v>4.141276696444436</v>
      </c>
      <c r="AY42" s="31">
        <f t="shared" si="47"/>
        <v>4.4067624832632064E-06</v>
      </c>
      <c r="AZ42" s="31">
        <f t="shared" si="48"/>
        <v>1000</v>
      </c>
      <c r="BA42" s="1279">
        <f t="shared" si="49"/>
        <v>4.406762483263206E-09</v>
      </c>
      <c r="BB42" s="31">
        <f>Soil_vapor!C39</f>
        <v>0</v>
      </c>
      <c r="BC42" s="31">
        <f t="shared" si="50"/>
        <v>4.406762483263206E-09</v>
      </c>
      <c r="BD42" s="292">
        <f t="shared" si="51"/>
        <v>0</v>
      </c>
      <c r="BE42" s="31">
        <f t="shared" si="13"/>
        <v>0</v>
      </c>
      <c r="BF42" s="43">
        <f t="shared" si="73"/>
        <v>0</v>
      </c>
      <c r="BG42" s="1281">
        <f t="shared" si="52"/>
        <v>0</v>
      </c>
      <c r="BH42" s="1276">
        <f t="shared" si="53"/>
        <v>0</v>
      </c>
      <c r="BI42" s="292">
        <f t="shared" si="54"/>
        <v>6.1</v>
      </c>
      <c r="BJ42" s="1207">
        <f t="shared" si="99"/>
        <v>3.0721429883320637E-12</v>
      </c>
      <c r="BK42" s="1332">
        <f t="shared" si="75"/>
      </c>
      <c r="BL42" s="34">
        <f t="shared" si="76"/>
        <v>0</v>
      </c>
      <c r="BM42" s="1273">
        <f t="shared" si="55"/>
        <v>3.0721429883320637E-12</v>
      </c>
      <c r="BN42" s="36"/>
      <c r="BR42" s="4">
        <f t="shared" si="56"/>
        <v>4.7589227681028144E-06</v>
      </c>
      <c r="BS42" s="47">
        <f t="shared" si="57"/>
        <v>7.3</v>
      </c>
      <c r="BT42" s="47">
        <f t="shared" si="58"/>
        <v>1</v>
      </c>
      <c r="BU42" s="5">
        <f t="shared" si="59"/>
        <v>11986.301369863013</v>
      </c>
      <c r="BV42" s="5">
        <f t="shared" si="60"/>
        <v>3.9703012808172053E-10</v>
      </c>
      <c r="BW42" s="42">
        <f t="shared" si="61"/>
        <v>4.531376907330642E-05</v>
      </c>
      <c r="BZ42" s="28"/>
      <c r="CA42" s="26"/>
      <c r="CB42" s="1269"/>
      <c r="CC42" s="1275"/>
      <c r="CD42" s="1282"/>
      <c r="CE42" s="31"/>
      <c r="CF42" s="1283"/>
    </row>
    <row r="43" spans="1:84" ht="12.75">
      <c r="A43" s="8" t="str">
        <f>MainForm!B40</f>
        <v>Chrysene</v>
      </c>
      <c r="B43" s="80">
        <f>MainForm!G40</f>
        <v>1</v>
      </c>
      <c r="C43" s="37">
        <f t="shared" si="63"/>
        <v>0.0011832219132698338</v>
      </c>
      <c r="D43" s="51">
        <f t="shared" si="21"/>
        <v>59.16109566349194</v>
      </c>
      <c r="E43" s="62"/>
      <c r="F43" s="46">
        <f t="shared" si="23"/>
        <v>228300</v>
      </c>
      <c r="G43" s="46">
        <f t="shared" si="24"/>
        <v>0.0016</v>
      </c>
      <c r="H43" s="46">
        <f t="shared" si="25"/>
        <v>0.00388</v>
      </c>
      <c r="I43" s="46">
        <f t="shared" si="26"/>
        <v>398000</v>
      </c>
      <c r="J43" s="46">
        <f t="shared" si="27"/>
        <v>0.000259137519331984</v>
      </c>
      <c r="K43" s="46">
        <f t="shared" si="28"/>
        <v>1274000</v>
      </c>
      <c r="L43" s="38">
        <f t="shared" si="95"/>
        <v>5.580376697328077</v>
      </c>
      <c r="M43" s="39">
        <f t="shared" si="96"/>
        <v>211.50838505136224</v>
      </c>
      <c r="N43" s="40">
        <f t="shared" si="97"/>
        <v>211.76207404623324</v>
      </c>
      <c r="O43" s="2">
        <f t="shared" si="98"/>
        <v>0.0001662182684821297</v>
      </c>
      <c r="P43" s="4">
        <f t="shared" si="77"/>
        <v>0.0009264493431947536</v>
      </c>
      <c r="Q43" s="14">
        <f t="shared" si="78"/>
        <v>1.482318949111606E-06</v>
      </c>
      <c r="R43" s="5">
        <f t="shared" si="79"/>
        <v>0.0009275605521078986</v>
      </c>
      <c r="S43" s="14">
        <f t="shared" si="80"/>
        <v>1.4840968833726379E-06</v>
      </c>
      <c r="T43" s="61">
        <f t="shared" si="81"/>
        <v>0.1485711845905448</v>
      </c>
      <c r="U43" s="5">
        <f t="shared" si="6"/>
        <v>1.4840968833726379E-06</v>
      </c>
      <c r="V43" s="5">
        <f t="shared" si="82"/>
        <v>5.758295907485835E-09</v>
      </c>
      <c r="W43" s="5">
        <f>U43*InputOutput!$U$10*I43</f>
        <v>0.0005906705595823099</v>
      </c>
      <c r="X43" s="5">
        <f t="shared" si="7"/>
        <v>990.1754774016001</v>
      </c>
      <c r="Y43" s="32">
        <f>InputOutput!$U$11</f>
        <v>20</v>
      </c>
      <c r="Z43" s="5">
        <f t="shared" si="83"/>
        <v>7.42048441686319E-05</v>
      </c>
      <c r="AA43" s="42">
        <f t="shared" si="70"/>
        <v>7.869456307314605E-08</v>
      </c>
      <c r="AB43" s="1271">
        <f t="shared" si="34"/>
        <v>0</v>
      </c>
      <c r="AC43" s="1272">
        <f t="shared" si="35"/>
        <v>1</v>
      </c>
      <c r="AD43" s="5">
        <f t="shared" si="84"/>
        <v>0</v>
      </c>
      <c r="AE43" s="5">
        <f t="shared" si="85"/>
        <v>0</v>
      </c>
      <c r="AF43" s="43">
        <f t="shared" si="71"/>
        <v>0</v>
      </c>
      <c r="AG43" s="1273">
        <f>IF($C$6-$O$49&gt;0,U43*InputOutput!$U$7,U43*(InputOutput!$U$6-$O$49))</f>
        <v>4.4522906501179135E-07</v>
      </c>
      <c r="AH43" s="1274">
        <f>IF($C$6-$O$49&gt;0,V43*(InputOutput!$U$8-$O$49),0)</f>
        <v>2.3251283135360688E-10</v>
      </c>
      <c r="AI43" s="31">
        <f>W43*InputOutput!$U$9</f>
        <v>0.0008860058393734649</v>
      </c>
      <c r="AJ43" s="1275">
        <f t="shared" si="86"/>
        <v>88.74075704342088</v>
      </c>
      <c r="AK43" s="1276">
        <f t="shared" si="87"/>
        <v>5.017137923958695E-09</v>
      </c>
      <c r="AL43" s="1276">
        <f t="shared" si="88"/>
        <v>2.620109592261904E-12</v>
      </c>
      <c r="AM43" s="1276">
        <f t="shared" si="89"/>
        <v>9.984104468677803E-06</v>
      </c>
      <c r="AN43" s="1277">
        <f t="shared" si="90"/>
        <v>0.9999900108757732</v>
      </c>
      <c r="AO43" s="1331">
        <f t="shared" si="91"/>
        <v>0.9999999999999999</v>
      </c>
      <c r="AP43" s="31">
        <f t="shared" si="92"/>
        <v>0.6371205380266666</v>
      </c>
      <c r="AQ43" s="1279">
        <f t="shared" si="93"/>
        <v>92.8569903690905</v>
      </c>
      <c r="AR43" s="1279">
        <f t="shared" si="94"/>
        <v>0.00016601914054267052</v>
      </c>
      <c r="AS43" s="1086"/>
      <c r="AT43" s="1086"/>
      <c r="AW43" s="25" t="str">
        <f t="shared" si="12"/>
        <v>Chrysene</v>
      </c>
      <c r="AX43" s="1280">
        <f t="shared" si="46"/>
        <v>59.16109566349194</v>
      </c>
      <c r="AY43" s="31">
        <f t="shared" si="47"/>
        <v>0.005758295907485835</v>
      </c>
      <c r="AZ43" s="31">
        <f t="shared" si="48"/>
        <v>1000</v>
      </c>
      <c r="BA43" s="1279">
        <f t="shared" si="49"/>
        <v>5.7582959074858345E-06</v>
      </c>
      <c r="BB43" s="31">
        <f>Soil_vapor!C40</f>
        <v>0</v>
      </c>
      <c r="BC43" s="31">
        <f t="shared" si="50"/>
        <v>5.7582959074858345E-06</v>
      </c>
      <c r="BD43" s="292">
        <f t="shared" si="51"/>
        <v>0</v>
      </c>
      <c r="BE43" s="31">
        <f t="shared" si="13"/>
        <v>0</v>
      </c>
      <c r="BF43" s="43">
        <f t="shared" si="73"/>
        <v>0</v>
      </c>
      <c r="BG43" s="1281">
        <f t="shared" si="52"/>
        <v>0</v>
      </c>
      <c r="BH43" s="1276">
        <f t="shared" si="53"/>
        <v>0</v>
      </c>
      <c r="BI43" s="292">
        <f t="shared" si="54"/>
        <v>0.061</v>
      </c>
      <c r="BJ43" s="1207">
        <f t="shared" si="99"/>
        <v>4.014354861218696E-11</v>
      </c>
      <c r="BK43" s="1332">
        <f t="shared" si="75"/>
      </c>
      <c r="BL43" s="34">
        <f t="shared" si="76"/>
        <v>0</v>
      </c>
      <c r="BM43" s="1273">
        <f t="shared" si="55"/>
        <v>4.014354861218696E-11</v>
      </c>
      <c r="BN43" s="36"/>
      <c r="BR43" s="4">
        <f t="shared" si="56"/>
        <v>7.42048441686319E-05</v>
      </c>
      <c r="BS43" s="47">
        <f t="shared" si="57"/>
        <v>0.073</v>
      </c>
      <c r="BT43" s="47">
        <f t="shared" si="58"/>
        <v>1</v>
      </c>
      <c r="BU43" s="5">
        <f t="shared" si="59"/>
        <v>1198630.1369863015</v>
      </c>
      <c r="BV43" s="5">
        <f t="shared" si="60"/>
        <v>6.190804142068718E-11</v>
      </c>
      <c r="BW43" s="42">
        <f t="shared" si="61"/>
        <v>7.06567712196465E-06</v>
      </c>
      <c r="BZ43" s="28"/>
      <c r="CA43" s="26"/>
      <c r="CB43" s="1269"/>
      <c r="CC43" s="1275"/>
      <c r="CD43" s="1282"/>
      <c r="CE43" s="31"/>
      <c r="CF43" s="1283"/>
    </row>
    <row r="44" spans="1:84" ht="12.75">
      <c r="A44" s="8" t="str">
        <f>MainForm!B41</f>
        <v>Dibenz(a,h)anthracene</v>
      </c>
      <c r="B44" s="80">
        <f>MainForm!G41</f>
        <v>0.05</v>
      </c>
      <c r="C44" s="37">
        <f t="shared" si="63"/>
        <v>5.9161095663491693E-05</v>
      </c>
      <c r="D44" s="51">
        <f t="shared" si="21"/>
        <v>2.9580547831745974</v>
      </c>
      <c r="E44" s="62"/>
      <c r="F44" s="46">
        <f t="shared" si="23"/>
        <v>278000</v>
      </c>
      <c r="G44" s="46">
        <f t="shared" si="24"/>
        <v>0.00249</v>
      </c>
      <c r="H44" s="46">
        <f t="shared" si="25"/>
        <v>6.03E-07</v>
      </c>
      <c r="I44" s="46">
        <f t="shared" si="26"/>
        <v>1789101</v>
      </c>
      <c r="J44" s="46">
        <f t="shared" si="27"/>
        <v>1.06404848315633E-05</v>
      </c>
      <c r="K44" s="46">
        <f t="shared" si="28"/>
        <v>1260000</v>
      </c>
      <c r="L44" s="38">
        <f t="shared" si="95"/>
        <v>4.532374100719425</v>
      </c>
      <c r="M44" s="39">
        <f t="shared" si="96"/>
        <v>10.575419252568112</v>
      </c>
      <c r="N44" s="40">
        <f t="shared" si="97"/>
        <v>10.587602101351957</v>
      </c>
      <c r="O44" s="2">
        <f t="shared" si="98"/>
        <v>8.40285881059679E-06</v>
      </c>
      <c r="P44" s="4">
        <f t="shared" si="77"/>
        <v>3.8041076448086736E-05</v>
      </c>
      <c r="Q44" s="14">
        <f t="shared" si="78"/>
        <v>9.472228035573597E-08</v>
      </c>
      <c r="R44" s="5">
        <f t="shared" si="79"/>
        <v>3.808489964515092E-05</v>
      </c>
      <c r="S44" s="14">
        <f t="shared" si="80"/>
        <v>9.48314001164258E-08</v>
      </c>
      <c r="T44" s="61">
        <f t="shared" si="81"/>
        <v>0.0016531901469278795</v>
      </c>
      <c r="U44" s="5">
        <f t="shared" si="6"/>
        <v>9.48314001164258E-08</v>
      </c>
      <c r="V44" s="5">
        <f t="shared" si="82"/>
        <v>5.718333427020476E-14</v>
      </c>
      <c r="W44" s="5">
        <f>U44*InputOutput!$U$10*I44</f>
        <v>0.0001696629527796975</v>
      </c>
      <c r="X44" s="5">
        <f t="shared" si="7"/>
        <v>49.50642844079585</v>
      </c>
      <c r="Y44" s="32">
        <f>InputOutput!$U$11</f>
        <v>20</v>
      </c>
      <c r="Z44" s="5">
        <f t="shared" si="83"/>
        <v>4.74157000582129E-06</v>
      </c>
      <c r="AA44" s="42">
        <f t="shared" si="70"/>
        <v>5.0284558113333274E-09</v>
      </c>
      <c r="AB44" s="1271">
        <f t="shared" si="34"/>
        <v>0</v>
      </c>
      <c r="AC44" s="1272">
        <f t="shared" si="35"/>
        <v>1</v>
      </c>
      <c r="AD44" s="5">
        <f t="shared" si="84"/>
        <v>0</v>
      </c>
      <c r="AE44" s="5">
        <f t="shared" si="85"/>
        <v>0</v>
      </c>
      <c r="AF44" s="43">
        <f t="shared" si="71"/>
        <v>0</v>
      </c>
      <c r="AG44" s="1273">
        <f>IF($C$6-$O$49&gt;0,U44*InputOutput!$U$7,U44*(InputOutput!$U$6-$O$49))</f>
        <v>2.8449420034927738E-08</v>
      </c>
      <c r="AH44" s="1274">
        <f>IF($C$6-$O$49&gt;0,V44*(InputOutput!$U$8-$O$49),0)</f>
        <v>2.3089919606459115E-15</v>
      </c>
      <c r="AI44" s="31">
        <f>W44*InputOutput!$U$9</f>
        <v>0.0002544944291695463</v>
      </c>
      <c r="AJ44" s="1275">
        <f t="shared" si="86"/>
        <v>4.436827651883299</v>
      </c>
      <c r="AK44" s="1276">
        <f t="shared" si="87"/>
        <v>6.411740624671759E-09</v>
      </c>
      <c r="AL44" s="1276">
        <f t="shared" si="88"/>
        <v>5.203852148106361E-16</v>
      </c>
      <c r="AM44" s="1276">
        <f t="shared" si="89"/>
        <v>5.735625781670435E-05</v>
      </c>
      <c r="AN44" s="1277">
        <f t="shared" si="90"/>
        <v>0.9999426373304421</v>
      </c>
      <c r="AO44" s="1331">
        <f t="shared" si="91"/>
        <v>0.9999999999999999</v>
      </c>
      <c r="AP44" s="31">
        <f t="shared" si="92"/>
        <v>4.455359490130127</v>
      </c>
      <c r="AQ44" s="1279">
        <f t="shared" si="93"/>
        <v>0.6639317859148111</v>
      </c>
      <c r="AR44" s="1279">
        <f t="shared" si="94"/>
        <v>8.393189882990566E-06</v>
      </c>
      <c r="AS44" s="1086"/>
      <c r="AT44" s="1086"/>
      <c r="AW44" s="25" t="str">
        <f t="shared" si="12"/>
        <v>Dibenz(a,h)anthracene</v>
      </c>
      <c r="AX44" s="1280">
        <f t="shared" si="46"/>
        <v>2.9580547831745974</v>
      </c>
      <c r="AY44" s="31">
        <f t="shared" si="47"/>
        <v>5.718333427020476E-08</v>
      </c>
      <c r="AZ44" s="31">
        <f t="shared" si="48"/>
        <v>1000</v>
      </c>
      <c r="BA44" s="1279">
        <f t="shared" si="49"/>
        <v>5.718333427020476E-11</v>
      </c>
      <c r="BB44" s="31">
        <f>Soil_vapor!C41</f>
        <v>0</v>
      </c>
      <c r="BC44" s="31">
        <f t="shared" si="50"/>
        <v>5.718333427020476E-11</v>
      </c>
      <c r="BD44" s="292">
        <f t="shared" si="51"/>
        <v>0</v>
      </c>
      <c r="BE44" s="31">
        <f t="shared" si="13"/>
        <v>0</v>
      </c>
      <c r="BF44" s="43">
        <f t="shared" si="73"/>
        <v>0</v>
      </c>
      <c r="BG44" s="1281">
        <f t="shared" si="52"/>
        <v>0</v>
      </c>
      <c r="BH44" s="1276">
        <f t="shared" si="53"/>
        <v>0</v>
      </c>
      <c r="BI44" s="292">
        <f t="shared" si="54"/>
        <v>0.61</v>
      </c>
      <c r="BJ44" s="1207">
        <f t="shared" si="99"/>
        <v>3.98649530340856E-15</v>
      </c>
      <c r="BK44" s="1332">
        <f t="shared" si="75"/>
      </c>
      <c r="BL44" s="34">
        <f t="shared" si="76"/>
        <v>0</v>
      </c>
      <c r="BM44" s="1273">
        <f t="shared" si="55"/>
        <v>3.98649530340856E-15</v>
      </c>
      <c r="BN44" s="36"/>
      <c r="BR44" s="4">
        <f t="shared" si="56"/>
        <v>4.74157000582129E-06</v>
      </c>
      <c r="BS44" s="47">
        <f t="shared" si="57"/>
        <v>0.73</v>
      </c>
      <c r="BT44" s="47">
        <f t="shared" si="58"/>
        <v>1</v>
      </c>
      <c r="BU44" s="5">
        <f t="shared" si="59"/>
        <v>119863.01369863015</v>
      </c>
      <c r="BV44" s="5">
        <f t="shared" si="60"/>
        <v>3.955824119142333E-11</v>
      </c>
      <c r="BW44" s="42">
        <f t="shared" si="61"/>
        <v>4.514853859970441E-06</v>
      </c>
      <c r="BZ44" s="28"/>
      <c r="CA44" s="26"/>
      <c r="CB44" s="1269"/>
      <c r="CC44" s="1275"/>
      <c r="CD44" s="1282"/>
      <c r="CE44" s="31"/>
      <c r="CF44" s="1283"/>
    </row>
    <row r="45" spans="1:84" ht="13.5" thickBot="1">
      <c r="A45" s="8" t="str">
        <f>MainForm!B42</f>
        <v>Indeno(1,2,3-cd)pyrene</v>
      </c>
      <c r="B45" s="80">
        <f>MainForm!G42</f>
        <v>1</v>
      </c>
      <c r="C45" s="37">
        <f t="shared" si="63"/>
        <v>0.0011832219132698338</v>
      </c>
      <c r="D45" s="65">
        <f t="shared" si="21"/>
        <v>59.16109566349194</v>
      </c>
      <c r="E45" s="62"/>
      <c r="F45" s="46">
        <f t="shared" si="23"/>
        <v>276300</v>
      </c>
      <c r="G45" s="46">
        <f t="shared" si="24"/>
        <v>2.2E-05</v>
      </c>
      <c r="H45" s="46">
        <f t="shared" si="25"/>
        <v>6.56E-05</v>
      </c>
      <c r="I45" s="46">
        <f t="shared" si="26"/>
        <v>3470000</v>
      </c>
      <c r="J45" s="46">
        <f t="shared" si="27"/>
        <v>0.00021411905777593898</v>
      </c>
      <c r="K45" s="46">
        <f t="shared" si="28"/>
        <v>1300000</v>
      </c>
      <c r="L45" s="38">
        <f t="shared" si="95"/>
        <v>4.705030763662686</v>
      </c>
      <c r="M45" s="39">
        <f t="shared" si="96"/>
        <v>211.50838505136224</v>
      </c>
      <c r="N45" s="40">
        <f t="shared" si="97"/>
        <v>211.76397994381182</v>
      </c>
      <c r="O45" s="2">
        <f t="shared" si="98"/>
        <v>0.00016289536918754756</v>
      </c>
      <c r="P45" s="4">
        <f t="shared" si="77"/>
        <v>0.0007655026603379017</v>
      </c>
      <c r="Q45" s="14">
        <f t="shared" si="78"/>
        <v>1.6841058527433838E-08</v>
      </c>
      <c r="R45" s="5">
        <f t="shared" si="79"/>
        <v>0.000766427723285602</v>
      </c>
      <c r="S45" s="14">
        <f t="shared" si="80"/>
        <v>1.6861409912283243E-08</v>
      </c>
      <c r="T45" s="61">
        <f t="shared" si="81"/>
        <v>0.01704832446734094</v>
      </c>
      <c r="U45" s="5">
        <f t="shared" si="6"/>
        <v>1.6861409912283243E-08</v>
      </c>
      <c r="V45" s="5">
        <f t="shared" si="82"/>
        <v>1.1061084902457806E-12</v>
      </c>
      <c r="W45" s="5">
        <f>U45*InputOutput!$U$10*I45</f>
        <v>5.8509092395622855E-05</v>
      </c>
      <c r="X45" s="5">
        <f t="shared" si="7"/>
        <v>990.1843891628455</v>
      </c>
      <c r="Y45" s="32">
        <f>InputOutput!$U$11</f>
        <v>20</v>
      </c>
      <c r="Z45" s="5">
        <f t="shared" si="83"/>
        <v>8.430704956141621E-07</v>
      </c>
      <c r="AA45" s="42">
        <f t="shared" si="70"/>
        <v>8.940799625081994E-10</v>
      </c>
      <c r="AB45" s="1271">
        <f t="shared" si="34"/>
        <v>0</v>
      </c>
      <c r="AC45" s="1272">
        <f t="shared" si="35"/>
        <v>1</v>
      </c>
      <c r="AD45" s="5">
        <f t="shared" si="84"/>
        <v>0</v>
      </c>
      <c r="AE45" s="5">
        <f t="shared" si="85"/>
        <v>0</v>
      </c>
      <c r="AF45" s="43">
        <f t="shared" si="71"/>
        <v>0</v>
      </c>
      <c r="AG45" s="1273">
        <f>IF($C$6-$O$49&gt;0,U45*InputOutput!$U$7,U45*(InputOutput!$U$6-$O$49))</f>
        <v>5.058422973684972E-09</v>
      </c>
      <c r="AH45" s="1274">
        <f>IF($C$6-$O$49&gt;0,V45*(InputOutput!$U$8-$O$49),0)</f>
        <v>4.466328597614581E-14</v>
      </c>
      <c r="AI45" s="31">
        <f>W45*InputOutput!$U$9</f>
        <v>8.776363859343428E-05</v>
      </c>
      <c r="AJ45" s="1275">
        <f t="shared" si="86"/>
        <v>88.74155572654075</v>
      </c>
      <c r="AK45" s="1276">
        <f t="shared" si="87"/>
        <v>5.700168234946455E-11</v>
      </c>
      <c r="AL45" s="1276">
        <f t="shared" si="88"/>
        <v>5.032956819031935E-16</v>
      </c>
      <c r="AM45" s="1276">
        <f t="shared" si="89"/>
        <v>9.8897918876321E-07</v>
      </c>
      <c r="AN45" s="1277">
        <f t="shared" si="90"/>
        <v>0.999999010963809</v>
      </c>
      <c r="AO45" s="1331">
        <f t="shared" si="91"/>
        <v>1</v>
      </c>
      <c r="AP45" s="31">
        <f t="shared" si="92"/>
        <v>0.07634440012507733</v>
      </c>
      <c r="AQ45" s="1279">
        <f t="shared" si="93"/>
        <v>774.9238394245882</v>
      </c>
      <c r="AR45" s="1279">
        <f t="shared" si="94"/>
        <v>0.00016269875773181712</v>
      </c>
      <c r="AS45" s="1086"/>
      <c r="AT45" s="1086"/>
      <c r="AW45" s="25" t="str">
        <f t="shared" si="12"/>
        <v>Indeno(1,2,3-cd)pyrene</v>
      </c>
      <c r="AX45" s="1280">
        <f t="shared" si="46"/>
        <v>59.16109566349194</v>
      </c>
      <c r="AY45" s="31">
        <f t="shared" si="47"/>
        <v>1.1061084902457806E-06</v>
      </c>
      <c r="AZ45" s="31">
        <f t="shared" si="48"/>
        <v>1000</v>
      </c>
      <c r="BA45" s="1279">
        <f t="shared" si="49"/>
        <v>1.1061084902457805E-09</v>
      </c>
      <c r="BB45" s="31">
        <f>Soil_vapor!C42</f>
        <v>0</v>
      </c>
      <c r="BC45" s="31">
        <f t="shared" si="50"/>
        <v>1.1061084902457805E-09</v>
      </c>
      <c r="BD45" s="371">
        <f t="shared" si="51"/>
        <v>0</v>
      </c>
      <c r="BE45" s="31">
        <f t="shared" si="13"/>
        <v>0</v>
      </c>
      <c r="BF45" s="43">
        <f t="shared" si="73"/>
        <v>0</v>
      </c>
      <c r="BG45" s="1281">
        <f t="shared" si="52"/>
        <v>0</v>
      </c>
      <c r="BH45" s="1276">
        <f t="shared" si="53"/>
        <v>0</v>
      </c>
      <c r="BI45" s="371">
        <f t="shared" si="54"/>
        <v>0.61</v>
      </c>
      <c r="BJ45" s="1207">
        <f t="shared" si="99"/>
        <v>7.711156331999156E-14</v>
      </c>
      <c r="BK45" s="1332">
        <f>IF(ISERROR(BJ45-0.000001),"",IF((BJ45-0.00001)*10000&gt;0,"Fail",""))</f>
      </c>
      <c r="BL45" s="34">
        <f t="shared" si="76"/>
        <v>0</v>
      </c>
      <c r="BM45" s="1273">
        <f t="shared" si="55"/>
        <v>7.711156331999156E-14</v>
      </c>
      <c r="BN45" s="36"/>
      <c r="BR45" s="4">
        <f t="shared" si="56"/>
        <v>8.430704956141621E-07</v>
      </c>
      <c r="BS45" s="47">
        <f t="shared" si="57"/>
        <v>0.73</v>
      </c>
      <c r="BT45" s="47">
        <f t="shared" si="58"/>
        <v>1</v>
      </c>
      <c r="BU45" s="5">
        <f t="shared" si="59"/>
        <v>119863.01369863015</v>
      </c>
      <c r="BV45" s="5">
        <f t="shared" si="60"/>
        <v>7.033616706266723E-12</v>
      </c>
      <c r="BW45" s="42">
        <f t="shared" si="61"/>
        <v>8.027594397378288E-07</v>
      </c>
      <c r="BZ45" s="28"/>
      <c r="CB45" s="1269"/>
      <c r="CC45" s="1275"/>
      <c r="CD45" s="1282"/>
      <c r="CE45" s="31"/>
      <c r="CF45" s="1283"/>
    </row>
    <row r="46" spans="1:84" ht="13.5" thickBot="1">
      <c r="A46" s="66" t="s">
        <v>20</v>
      </c>
      <c r="B46" s="67">
        <f>SUM(B16:B45)</f>
        <v>845.15</v>
      </c>
      <c r="C46" s="67">
        <f>SUM(C16:C45)</f>
        <v>0.9999999999999999</v>
      </c>
      <c r="D46" s="68">
        <f>SUM(D16:D45)</f>
        <v>50000.00000000019</v>
      </c>
      <c r="E46" s="69"/>
      <c r="F46" s="70"/>
      <c r="G46" s="70"/>
      <c r="H46" s="70"/>
      <c r="I46" s="70"/>
      <c r="J46" s="71">
        <f>SUM(J16:J45)</f>
        <v>0.27971040320281104</v>
      </c>
      <c r="K46" s="71"/>
      <c r="L46" s="72"/>
      <c r="M46" s="1334">
        <f aca="true" t="shared" si="100" ref="M46:X46">SUM(M16:M45)</f>
        <v>178756.31162615874</v>
      </c>
      <c r="N46" s="1335">
        <f t="shared" si="100"/>
        <v>178856.00359308347</v>
      </c>
      <c r="O46" s="1336">
        <f t="shared" si="100"/>
        <v>0.21386317766820012</v>
      </c>
      <c r="P46" s="72">
        <f t="shared" si="100"/>
        <v>1</v>
      </c>
      <c r="Q46" s="73">
        <f t="shared" si="100"/>
        <v>18.92541353049892</v>
      </c>
      <c r="R46" s="74">
        <f t="shared" si="100"/>
        <v>1.000111862295932</v>
      </c>
      <c r="S46" s="75">
        <f t="shared" si="100"/>
        <v>18.858950674815745</v>
      </c>
      <c r="T46" s="76">
        <f t="shared" si="100"/>
        <v>6569.3507993786</v>
      </c>
      <c r="U46" s="74">
        <f t="shared" si="100"/>
        <v>18.858950674815745</v>
      </c>
      <c r="V46" s="74">
        <f t="shared" si="100"/>
        <v>125.9561112242897</v>
      </c>
      <c r="W46" s="74">
        <f t="shared" si="100"/>
        <v>17.859210385349545</v>
      </c>
      <c r="X46" s="74">
        <f t="shared" si="100"/>
        <v>836310.4183861478</v>
      </c>
      <c r="Y46" s="369"/>
      <c r="Z46" s="1337">
        <f>SUM(Z16:Z45)</f>
        <v>942.9475337407872</v>
      </c>
      <c r="AA46" s="1338">
        <f>SUM(AA16:AA45)</f>
        <v>0.9999999999999999</v>
      </c>
      <c r="AB46" s="1205"/>
      <c r="AC46" s="1205"/>
      <c r="AD46" s="1205"/>
      <c r="AE46" s="1337">
        <f aca="true" t="shared" si="101" ref="AE46:AJ46">SUM(AE16:AE45)</f>
        <v>1.5810818629564527</v>
      </c>
      <c r="AF46" s="1339">
        <f t="shared" si="101"/>
        <v>0.9999999999999998</v>
      </c>
      <c r="AG46" s="1340">
        <f t="shared" si="101"/>
        <v>5.657685202444722</v>
      </c>
      <c r="AH46" s="1341">
        <f t="shared" si="101"/>
        <v>5.0859512115341</v>
      </c>
      <c r="AI46" s="1210">
        <f t="shared" si="101"/>
        <v>26.788815578024316</v>
      </c>
      <c r="AJ46" s="1342">
        <f t="shared" si="101"/>
        <v>74951.17920476069</v>
      </c>
      <c r="AK46" s="1343"/>
      <c r="AL46" s="1205"/>
      <c r="AM46" s="1205"/>
      <c r="AN46" s="1205"/>
      <c r="AO46" s="1206"/>
      <c r="AP46" s="1344">
        <f>SUM(AP16:AP45)</f>
        <v>15185.128697160158</v>
      </c>
      <c r="AQ46" s="1345">
        <f>SUM(AQ16:AQ45)</f>
        <v>5969.424823082506</v>
      </c>
      <c r="AR46" s="1344">
        <f>SUM(AR16:AR45)</f>
        <v>0.2137548642322369</v>
      </c>
      <c r="AS46" s="1086"/>
      <c r="AT46" s="1086"/>
      <c r="AW46" s="1204" t="s">
        <v>181</v>
      </c>
      <c r="AX46" s="1346">
        <f t="shared" si="46"/>
        <v>50000.00000000019</v>
      </c>
      <c r="AY46" s="1210">
        <f t="shared" si="47"/>
        <v>125956111.2242897</v>
      </c>
      <c r="AZ46" s="1210"/>
      <c r="BA46" s="1344">
        <f>SUM(BA16:BA45)</f>
        <v>125956.11122428974</v>
      </c>
      <c r="BB46" s="1210">
        <f>SUM(BB16:BB44)</f>
        <v>329.5</v>
      </c>
      <c r="BC46" s="1210">
        <f>SUM(BC16:BC45)</f>
        <v>125956.11122428974</v>
      </c>
      <c r="BD46" s="1204"/>
      <c r="BE46" s="1210">
        <f>SUM(BE16:BE45)</f>
        <v>205.30176179407115</v>
      </c>
      <c r="BF46" s="1339">
        <f>SUM(BF16:BF45)</f>
        <v>1</v>
      </c>
      <c r="BG46" s="1210">
        <f>SUM(BG16:BG45)</f>
        <v>205.30176179407115</v>
      </c>
      <c r="BH46" s="1347">
        <f>SUM(BH16:BH45)</f>
        <v>1</v>
      </c>
      <c r="BI46" s="1204"/>
      <c r="BJ46" s="1348">
        <f>SUM(BJ16:BJ45)</f>
        <v>9.80596761445014E-05</v>
      </c>
      <c r="BK46" s="1349" t="str">
        <f>IF(ISERROR(BJ46-0.000001),"",IF((BJ46-0.00001)*10000&gt;0,"Fail",""))</f>
        <v>Fail</v>
      </c>
      <c r="BL46" s="370">
        <f>IF(ISERROR(IF((BJ46-0.000001)&lt;0,"0","1")),"",IF((BJ46-0.00001)&lt;0,0,1))</f>
        <v>1</v>
      </c>
      <c r="BM46" s="1340">
        <f>SUM(BM16:BM45)</f>
        <v>9.80596761445014E-05</v>
      </c>
      <c r="BN46" s="1206"/>
      <c r="BP46" s="35" t="s">
        <v>98</v>
      </c>
      <c r="BR46" s="1350">
        <f>SUM(BR16:BR45)</f>
        <v>942.9475337407872</v>
      </c>
      <c r="BS46" s="137"/>
      <c r="BT46" s="137"/>
      <c r="BU46" s="1337"/>
      <c r="BV46" s="1337">
        <f>SUM(BV16:BV45)</f>
        <v>8.761798813058884E-06</v>
      </c>
      <c r="BW46" s="1338">
        <f>SUM(BW16:BW45)</f>
        <v>1.0000000000000002</v>
      </c>
      <c r="BZ46" s="1351" t="s">
        <v>22</v>
      </c>
      <c r="CA46" s="1205"/>
      <c r="CB46" s="1352"/>
      <c r="CC46" s="1353">
        <f>SUM(CC16:CC45)</f>
        <v>136124818.73986763</v>
      </c>
      <c r="CD46" s="1354">
        <f>SUM(CD16:CD45)</f>
        <v>0.9974817138303667</v>
      </c>
      <c r="CE46" s="1355">
        <f>SUM(CE16:CE45)</f>
        <v>135551593.3498439</v>
      </c>
      <c r="CF46" s="1356">
        <f>SUM(CF16:CF45)</f>
        <v>125956111.21850301</v>
      </c>
    </row>
    <row r="47" spans="1:84" ht="15.75" thickBot="1">
      <c r="A47" s="1357"/>
      <c r="Q47" s="1237" t="s">
        <v>327</v>
      </c>
      <c r="R47" s="19">
        <f>ABS(R46-1)</f>
        <v>0.00011186229593196373</v>
      </c>
      <c r="S47" s="19"/>
      <c r="T47" s="19"/>
      <c r="U47" s="24"/>
      <c r="V47" s="24"/>
      <c r="W47" s="24"/>
      <c r="X47" s="1358"/>
      <c r="Y47" s="1359"/>
      <c r="AD47" s="1086"/>
      <c r="AH47" s="1360" t="s">
        <v>116</v>
      </c>
      <c r="AI47" s="1086">
        <f>SUM(AG46:AJ46)</f>
        <v>74988.71165675268</v>
      </c>
      <c r="AK47" s="337"/>
      <c r="AQ47" s="1361">
        <f>IF(AQ46&gt;1.015,1,IF(AQ46&lt;0.995,0,3))</f>
        <v>1</v>
      </c>
      <c r="AW47" s="1230"/>
      <c r="AX47" s="1230"/>
      <c r="AY47" s="1230"/>
      <c r="AZ47" s="1230"/>
      <c r="BA47" s="1230"/>
      <c r="BB47" s="1230"/>
      <c r="BC47" s="1230"/>
      <c r="BD47" s="1230"/>
      <c r="BE47" s="1362" t="str">
        <f>IF(BE46&gt;1,"Fail","")</f>
        <v>Fail</v>
      </c>
      <c r="BF47" s="1230"/>
      <c r="BG47" s="1230"/>
      <c r="BH47" s="1205"/>
      <c r="BI47" s="1230"/>
      <c r="BJ47" s="1363" t="s">
        <v>241</v>
      </c>
      <c r="BK47" s="1234" t="str">
        <f>IF(BE46&gt;1,"Fail","")</f>
        <v>Fail</v>
      </c>
      <c r="BL47" s="370">
        <f>IF(BE46&gt;1,1,0)</f>
        <v>1</v>
      </c>
      <c r="BR47" s="1216"/>
      <c r="BS47" s="1223"/>
      <c r="BT47" s="1223"/>
      <c r="BU47" s="1223"/>
      <c r="BV47" s="1223"/>
      <c r="BW47" s="1217"/>
      <c r="CF47" s="35" t="s">
        <v>93</v>
      </c>
    </row>
    <row r="48" spans="11:74" ht="57.75" customHeight="1" thickBot="1">
      <c r="K48" s="1364" t="s">
        <v>115</v>
      </c>
      <c r="M48" s="1365" t="s">
        <v>69</v>
      </c>
      <c r="N48" s="1366">
        <f>(N46/O46)/M46</f>
        <v>4.67849448659</v>
      </c>
      <c r="O48" s="1366">
        <f>1/O46</f>
        <v>4.675886755743706</v>
      </c>
      <c r="P48" s="1367"/>
      <c r="Q48" s="1086"/>
      <c r="T48" s="26"/>
      <c r="U48" s="1368" t="s">
        <v>79</v>
      </c>
      <c r="V48" s="1369" t="s">
        <v>80</v>
      </c>
      <c r="W48" s="1369" t="s">
        <v>81</v>
      </c>
      <c r="X48" s="1304" t="s">
        <v>82</v>
      </c>
      <c r="Y48" s="1370" t="s">
        <v>20</v>
      </c>
      <c r="AF48" s="1371" t="s">
        <v>433</v>
      </c>
      <c r="AG48" s="1372">
        <f>AG46/$AI$47</f>
        <v>7.544715834486872E-05</v>
      </c>
      <c r="AH48" s="1372">
        <f>AH46/$AI$47</f>
        <v>6.782289092809229E-05</v>
      </c>
      <c r="AI48" s="1372">
        <f>AI46/$AI$47</f>
        <v>0.0003572379760389176</v>
      </c>
      <c r="AJ48" s="1536">
        <f>AJ46/$AI$47</f>
        <v>0.9994994919746882</v>
      </c>
      <c r="AM48" s="1373" t="s">
        <v>139</v>
      </c>
      <c r="AN48" s="1230"/>
      <c r="AO48" s="1230"/>
      <c r="AP48" s="1374"/>
      <c r="AQ48" s="26"/>
      <c r="AR48" s="26"/>
      <c r="AS48" s="26"/>
      <c r="AT48" s="26"/>
      <c r="BD48" s="1375" t="s">
        <v>380</v>
      </c>
      <c r="BE48" s="1210">
        <f>BC46/BE46</f>
        <v>613.5169524294223</v>
      </c>
      <c r="BF48" s="1236" t="s">
        <v>382</v>
      </c>
      <c r="BG48" s="1210">
        <f>BA46/BG46</f>
        <v>613.5169524294223</v>
      </c>
      <c r="BH48" s="1236" t="s">
        <v>377</v>
      </c>
      <c r="BK48" s="1360" t="s">
        <v>249</v>
      </c>
      <c r="BL48" s="33">
        <f>IF(AX46&gt;10000,1,0)</f>
        <v>1</v>
      </c>
      <c r="BU48" s="35" t="s">
        <v>411</v>
      </c>
      <c r="BV48" s="1086">
        <f>SUM(BV39:BV45)</f>
        <v>7.856241554177718E-10</v>
      </c>
    </row>
    <row r="49" spans="11:64" ht="15">
      <c r="K49" s="1376">
        <f>(F5+F6+O49)/(F4)-1</f>
        <v>0.20842149527971898</v>
      </c>
      <c r="M49" s="1377" t="s">
        <v>27</v>
      </c>
      <c r="N49" s="1366">
        <f>IF(F8&lt;0,0,$F$8/N48)</f>
        <v>0.08957128927674654</v>
      </c>
      <c r="O49" s="1366">
        <f>IF(F8&lt;0,0,$F$8/O48)</f>
        <v>0.08962124297027908</v>
      </c>
      <c r="P49" s="1378">
        <f>IF(F8&lt;0,0,(O49-N49)/N49)</f>
        <v>0.0005576976052918187</v>
      </c>
      <c r="Q49" s="1086">
        <f>F4-O49</f>
        <v>0.3403787570297209</v>
      </c>
      <c r="R49" s="20"/>
      <c r="S49" s="21"/>
      <c r="T49" s="22" t="s">
        <v>78</v>
      </c>
      <c r="U49" s="1370">
        <f>IF(C6-O49&gt;0,U46*InputOutput!U7,U46*(InputOutput!U6-O49))</f>
        <v>5.657685202444723</v>
      </c>
      <c r="V49" s="1370">
        <f>IF(C6-O49&gt;0,V46*(InputOutput!U8-$O$49),0)</f>
        <v>5.085951211534098</v>
      </c>
      <c r="W49" s="1370">
        <f>W46*InputOutput!U9</f>
        <v>26.78881557802432</v>
      </c>
      <c r="X49" s="1379">
        <f>IF(X46&lt;0,0,AJ46)</f>
        <v>74951.17920476069</v>
      </c>
      <c r="Y49" s="1370">
        <f>SUM(U49:X49)</f>
        <v>74988.71165675268</v>
      </c>
      <c r="AA49" s="35" t="s">
        <v>175</v>
      </c>
      <c r="AG49" s="35" t="s">
        <v>287</v>
      </c>
      <c r="AH49" s="35" t="s">
        <v>434</v>
      </c>
      <c r="AI49" s="35" t="s">
        <v>84</v>
      </c>
      <c r="AJ49" s="35" t="s">
        <v>97</v>
      </c>
      <c r="AM49" s="28"/>
      <c r="AN49" s="26"/>
      <c r="AO49" s="1200" t="s">
        <v>128</v>
      </c>
      <c r="AP49" s="1380">
        <f>AQ47</f>
        <v>1</v>
      </c>
      <c r="AQ49" s="26"/>
      <c r="AR49" s="26"/>
      <c r="AS49" s="26"/>
      <c r="AT49" s="26"/>
      <c r="BC49" s="35" t="s">
        <v>175</v>
      </c>
      <c r="BK49" s="33" t="s">
        <v>22</v>
      </c>
      <c r="BL49" s="33">
        <f>SUM(BL16:BL48)</f>
        <v>4</v>
      </c>
    </row>
    <row r="50" spans="13:64" ht="15.75" thickBot="1">
      <c r="M50" s="1381" t="s">
        <v>28</v>
      </c>
      <c r="N50" s="1382">
        <f>N49/$F$4</f>
        <v>0.20830532389941056</v>
      </c>
      <c r="O50" s="1382">
        <f>O49/$F$4</f>
        <v>0.2084214952797188</v>
      </c>
      <c r="P50" s="1381"/>
      <c r="R50" s="20"/>
      <c r="S50" s="21"/>
      <c r="T50" s="23" t="s">
        <v>77</v>
      </c>
      <c r="U50" s="1370">
        <f>tph_soil_sum_adjusted*density</f>
        <v>75000.00000000029</v>
      </c>
      <c r="V50" s="1370">
        <f>tph_soil_sum_adjusted*density</f>
        <v>75000.00000000029</v>
      </c>
      <c r="W50" s="1370">
        <f>tph_soil_sum_adjusted*density</f>
        <v>75000.00000000029</v>
      </c>
      <c r="X50" s="1379"/>
      <c r="Y50" s="1371"/>
      <c r="AA50" s="35" t="s">
        <v>177</v>
      </c>
      <c r="AM50" s="1216"/>
      <c r="AN50" s="1223"/>
      <c r="AO50" s="1383" t="s">
        <v>452</v>
      </c>
      <c r="AP50" s="1384">
        <f>IF(AND(inival&gt;0,park&lt;0.005),1,0)</f>
        <v>1</v>
      </c>
      <c r="AQ50" s="26"/>
      <c r="AR50" s="26"/>
      <c r="AS50" s="26"/>
      <c r="AT50" s="26"/>
      <c r="BC50" s="35" t="s">
        <v>328</v>
      </c>
      <c r="BJ50" s="33" t="s">
        <v>242</v>
      </c>
      <c r="BL50" s="1385" t="str">
        <f>IF(BL49&gt;0,"Fail","Pass")</f>
        <v>Fail</v>
      </c>
    </row>
    <row r="51" spans="13:56" ht="12.75">
      <c r="M51" s="1386"/>
      <c r="N51" s="1387" t="s">
        <v>44</v>
      </c>
      <c r="O51" s="1388" t="s">
        <v>45</v>
      </c>
      <c r="P51" s="1371" t="s">
        <v>99</v>
      </c>
      <c r="Q51" s="1086">
        <f>-(O49-C6)</f>
        <v>0.04037875702972092</v>
      </c>
      <c r="R51" s="20"/>
      <c r="S51" s="20"/>
      <c r="T51" s="23" t="s">
        <v>83</v>
      </c>
      <c r="U51" s="1389">
        <f>U49/$U$50</f>
        <v>7.543580269926268E-05</v>
      </c>
      <c r="V51" s="1389">
        <f>V49/$U$50</f>
        <v>6.781268282045439E-05</v>
      </c>
      <c r="W51" s="1389">
        <f>W49/W50</f>
        <v>0.00035718420770698955</v>
      </c>
      <c r="X51" s="1390">
        <f>IF(inival&gt;0,1-SUM(U51:W51),0)</f>
        <v>0.9994995673067733</v>
      </c>
      <c r="Y51" s="1371"/>
      <c r="AA51" s="35" t="s">
        <v>278</v>
      </c>
      <c r="AB51" s="1391">
        <f>(1-result_HI)*1000000</f>
        <v>-581081.8629564526</v>
      </c>
      <c r="AF51" s="35" t="s">
        <v>600</v>
      </c>
      <c r="AG51" s="337">
        <f>SUM(AG48:AJ48)</f>
        <v>1.0000000000000002</v>
      </c>
      <c r="AO51" s="35" t="s">
        <v>146</v>
      </c>
      <c r="AP51" s="1392">
        <f>ABS(AP49-AP50)</f>
        <v>0</v>
      </c>
      <c r="BC51" s="35" t="s">
        <v>278</v>
      </c>
      <c r="BD51" s="41">
        <f>(1-BE46)*10000</f>
        <v>-2043017.6179407116</v>
      </c>
    </row>
    <row r="52" spans="13:56" ht="19.5" customHeight="1">
      <c r="M52" s="35" t="s">
        <v>137</v>
      </c>
      <c r="P52" s="1086">
        <f>N46/O46</f>
        <v>836310.4183861476</v>
      </c>
      <c r="U52" s="1381" t="s">
        <v>47</v>
      </c>
      <c r="V52" s="1393">
        <f>U51</f>
        <v>7.543580269926268E-05</v>
      </c>
      <c r="AA52" s="35" t="s">
        <v>397</v>
      </c>
      <c r="AB52" s="1391">
        <f>(GW_target_CUL-result_TPH)*1000</f>
        <v>-442947.5337407872</v>
      </c>
      <c r="AO52" s="1360" t="s">
        <v>127</v>
      </c>
      <c r="AP52" s="1394" t="str">
        <f>IF(AP51=0,"Yes!",IF(AP51=1,"Check again with 'Backup Calc'","Acceptable!"))</f>
        <v>Yes!</v>
      </c>
      <c r="BC52" s="35" t="s">
        <v>176</v>
      </c>
      <c r="BD52" s="1395"/>
    </row>
    <row r="53" spans="13:56" ht="15.75" customHeight="1" thickBot="1">
      <c r="M53" s="330" t="s">
        <v>136</v>
      </c>
      <c r="P53" s="1086">
        <f>IF(F8&lt;0,0,AJ46/X46)</f>
        <v>0.08962124297027906</v>
      </c>
      <c r="Q53" s="35" t="s">
        <v>463</v>
      </c>
      <c r="R53" s="1673">
        <f>air_orig*N55/density</f>
        <v>72476.54330539754</v>
      </c>
      <c r="S53" s="35" t="s">
        <v>93</v>
      </c>
      <c r="U53" s="1371" t="s">
        <v>48</v>
      </c>
      <c r="V53" s="1396">
        <f>V51</f>
        <v>6.781268282045439E-05</v>
      </c>
      <c r="AA53" s="35" t="s">
        <v>18</v>
      </c>
      <c r="AB53" s="1391">
        <f>(result_benzene-InputOutput!$C$24)*1000000</f>
        <v>1968987.7639004854</v>
      </c>
      <c r="AO53" s="35" t="s">
        <v>150</v>
      </c>
      <c r="AP53" s="1394">
        <f>IF(AP51=0,0,IF(AP51=1,1,0))</f>
        <v>0</v>
      </c>
      <c r="BC53" s="35" t="s">
        <v>18</v>
      </c>
      <c r="BD53" s="41"/>
    </row>
    <row r="54" spans="13:66" ht="39" customHeight="1" thickBot="1">
      <c r="M54" s="1397" t="str">
        <f>IF(F8&lt;0,"Actually,  no NAPL phase existing in this test!","Yes!  NAPL phase is existing in this test!")</f>
        <v>Yes!  NAPL phase is existing in this test!</v>
      </c>
      <c r="U54" s="1371" t="s">
        <v>50</v>
      </c>
      <c r="V54" s="1396">
        <f>X51</f>
        <v>0.9994995673067733</v>
      </c>
      <c r="AA54" s="35" t="s">
        <v>395</v>
      </c>
      <c r="AB54" s="41">
        <f>(0.00001-result_risk)*1000000</f>
        <v>1.2382011869411174</v>
      </c>
      <c r="AO54" s="1360" t="s">
        <v>451</v>
      </c>
      <c r="AP54" s="35">
        <f>AP50</f>
        <v>1</v>
      </c>
      <c r="AQ54" s="35" t="str">
        <f>IF(criteria2=0,"3-phase","4-phase")</f>
        <v>4-phase</v>
      </c>
      <c r="BC54" s="35" t="s">
        <v>258</v>
      </c>
      <c r="BD54" s="41">
        <f>(0.00001-BJ46)*1000000</f>
        <v>-88.0596761445014</v>
      </c>
      <c r="BI54" s="1375" t="s">
        <v>381</v>
      </c>
      <c r="BJ54" s="1350">
        <f>BC46*0.00001/BJ46</f>
        <v>12844.842668935597</v>
      </c>
      <c r="BK54" s="1235" t="s">
        <v>384</v>
      </c>
      <c r="BL54" s="370"/>
      <c r="BM54" s="1210">
        <f>BA46*0.00001/BM46</f>
        <v>12844.842668935597</v>
      </c>
      <c r="BN54" s="1236" t="s">
        <v>385</v>
      </c>
    </row>
    <row r="55" spans="12:66" ht="51" customHeight="1">
      <c r="L55" s="1398" t="s">
        <v>140</v>
      </c>
      <c r="M55" s="1399"/>
      <c r="N55" s="1400">
        <f>M46/AR46</f>
        <v>836267.8073699716</v>
      </c>
      <c r="O55" s="1366">
        <f>N46/O46</f>
        <v>836310.4183861476</v>
      </c>
      <c r="U55" s="1371" t="s">
        <v>49</v>
      </c>
      <c r="V55" s="1396">
        <f>W51</f>
        <v>0.00035718420770698955</v>
      </c>
      <c r="AA55" s="35" t="s">
        <v>396</v>
      </c>
      <c r="AB55" s="41">
        <f>(0.000001-result_risk)*1000000</f>
        <v>-7.761798813058883</v>
      </c>
      <c r="BI55" s="1212"/>
      <c r="BJ55" s="5"/>
      <c r="BK55" s="361"/>
      <c r="BL55" s="361"/>
      <c r="BM55" s="31"/>
      <c r="BN55" s="26"/>
    </row>
    <row r="56" spans="21:28" ht="12.75">
      <c r="U56" s="35" t="s">
        <v>98</v>
      </c>
      <c r="V56" s="1401">
        <f>SUM(V52:V55)</f>
        <v>1</v>
      </c>
      <c r="AA56" s="35" t="s">
        <v>403</v>
      </c>
      <c r="AB56" s="1391">
        <f>(result_Naphthalene-InputOutput!$C$28)*1000</f>
        <v>-121581.40470212948</v>
      </c>
    </row>
    <row r="57" spans="10:28" ht="12.75">
      <c r="J57" s="35" t="s">
        <v>391</v>
      </c>
      <c r="K57" s="2197" t="s">
        <v>390</v>
      </c>
      <c r="L57" s="2197"/>
      <c r="M57" s="2197"/>
      <c r="N57" s="1086">
        <f>$C$6*0.05*N55/$F$3</f>
        <v>3623.8271652698772</v>
      </c>
      <c r="O57" s="1086">
        <f>$C$6*0.05*O55/$F$3</f>
        <v>3624.01181300664</v>
      </c>
      <c r="AA57" s="35" t="s">
        <v>173</v>
      </c>
      <c r="AB57" s="1391">
        <f>(result_MTBE-InputOutput!$C$32)*1000</f>
        <v>-20000</v>
      </c>
    </row>
    <row r="58" spans="11:28" ht="12.75">
      <c r="K58" s="2197" t="s">
        <v>392</v>
      </c>
      <c r="L58" s="2197"/>
      <c r="M58" s="2197"/>
      <c r="N58" s="1086">
        <f>air_orig*N55/density</f>
        <v>72476.54330539754</v>
      </c>
      <c r="O58" s="1086">
        <f>$C$6*O55/$F$3</f>
        <v>72480.23626013279</v>
      </c>
      <c r="AA58" s="35" t="s">
        <v>360</v>
      </c>
      <c r="AB58" s="1391">
        <f>(result_pah-0.00001)*1000000</f>
        <v>-9.999214375844582</v>
      </c>
    </row>
    <row r="59" spans="11:14" ht="12.75">
      <c r="K59" s="2197"/>
      <c r="L59" s="2197"/>
      <c r="M59" s="2197"/>
      <c r="N59" s="1086"/>
    </row>
    <row r="60" ht="12.75">
      <c r="N60" s="1086"/>
    </row>
  </sheetData>
  <sheetProtection/>
  <mergeCells count="10">
    <mergeCell ref="K59:M59"/>
    <mergeCell ref="K57:M57"/>
    <mergeCell ref="K58:M58"/>
    <mergeCell ref="BZ11:CE12"/>
    <mergeCell ref="CF11:CF12"/>
    <mergeCell ref="BD11:BH11"/>
    <mergeCell ref="BG12:BH12"/>
    <mergeCell ref="BI11:BN11"/>
    <mergeCell ref="BE12:BF12"/>
    <mergeCell ref="BJ12:BL12"/>
  </mergeCells>
  <printOptions/>
  <pageMargins left="0" right="0" top="0.25" bottom="0.18" header="0" footer="0"/>
  <pageSetup horizontalDpi="600" verticalDpi="600" orientation="portrait" scale="70" r:id="rId4"/>
  <headerFooter alignWithMargins="0">
    <oddFooter>&amp;L&amp;D&amp;F&amp;R&amp;P</oddFooter>
  </headerFooter>
  <drawing r:id="rId3"/>
  <legacyDrawing r:id="rId2"/>
</worksheet>
</file>

<file path=xl/worksheets/sheet24.xml><?xml version="1.0" encoding="utf-8"?>
<worksheet xmlns="http://schemas.openxmlformats.org/spreadsheetml/2006/main" xmlns:r="http://schemas.openxmlformats.org/officeDocument/2006/relationships">
  <sheetPr codeName="Sheet33"/>
  <dimension ref="A1:U55"/>
  <sheetViews>
    <sheetView showGridLines="0" showRowColHeaders="0" zoomScale="81" zoomScaleNormal="81" zoomScalePageLayoutView="0" workbookViewId="0" topLeftCell="A1">
      <selection activeCell="S16" sqref="S16"/>
    </sheetView>
  </sheetViews>
  <sheetFormatPr defaultColWidth="9.140625" defaultRowHeight="12.75"/>
  <cols>
    <col min="1" max="1" width="22.140625" style="150" customWidth="1"/>
    <col min="2" max="2" width="10.8515625" style="150" customWidth="1"/>
    <col min="3" max="3" width="11.140625" style="150" customWidth="1"/>
    <col min="4" max="4" width="11.8515625" style="150" customWidth="1"/>
    <col min="5" max="5" width="12.28125" style="150" customWidth="1"/>
    <col min="6" max="6" width="11.00390625" style="150" customWidth="1"/>
    <col min="7" max="7" width="11.28125" style="150" customWidth="1"/>
    <col min="8" max="8" width="12.28125" style="150" hidden="1" customWidth="1"/>
    <col min="9" max="9" width="8.140625" style="150" hidden="1" customWidth="1"/>
    <col min="10" max="10" width="9.00390625" style="150" customWidth="1"/>
    <col min="11" max="11" width="5.421875" style="150" hidden="1" customWidth="1"/>
    <col min="12" max="12" width="3.7109375" style="150" hidden="1" customWidth="1"/>
    <col min="13" max="13" width="3.140625" style="158" hidden="1" customWidth="1"/>
    <col min="14" max="14" width="1.421875" style="150" customWidth="1"/>
    <col min="15" max="15" width="38.00390625" style="150" customWidth="1"/>
    <col min="16" max="16" width="7.00390625" style="150" customWidth="1"/>
    <col min="17" max="17" width="9.28125" style="150" customWidth="1"/>
    <col min="18" max="18" width="8.140625" style="150" customWidth="1"/>
    <col min="19" max="19" width="7.8515625" style="150" customWidth="1"/>
    <col min="20" max="20" width="1.28515625" style="150" customWidth="1"/>
    <col min="21" max="21" width="6.140625" style="8" bestFit="1" customWidth="1"/>
    <col min="22" max="16384" width="9.140625" style="8" customWidth="1"/>
  </cols>
  <sheetData>
    <row r="1" spans="1:20" ht="18.75">
      <c r="A1" s="1007" t="s">
        <v>588</v>
      </c>
      <c r="B1" s="252"/>
      <c r="C1" s="252"/>
      <c r="D1" s="252"/>
      <c r="E1" s="252"/>
      <c r="F1" s="252"/>
      <c r="G1" s="252"/>
      <c r="H1" s="252"/>
      <c r="I1" s="252"/>
      <c r="J1" s="252"/>
      <c r="K1" s="252"/>
      <c r="L1" s="252"/>
      <c r="M1" s="1435"/>
      <c r="N1" s="252"/>
      <c r="O1" s="252"/>
      <c r="P1" s="252"/>
      <c r="Q1" s="252"/>
      <c r="R1" s="252"/>
      <c r="S1" s="252"/>
      <c r="T1" s="141"/>
    </row>
    <row r="2" spans="1:20" ht="18.75">
      <c r="A2" s="1008" t="s">
        <v>589</v>
      </c>
      <c r="B2" s="1009"/>
      <c r="C2" s="1009"/>
      <c r="D2" s="1009"/>
      <c r="E2" s="1009"/>
      <c r="F2" s="1009"/>
      <c r="G2" s="1009"/>
      <c r="H2" s="1009"/>
      <c r="I2" s="1009"/>
      <c r="J2" s="1009"/>
      <c r="K2" s="252"/>
      <c r="L2" s="252"/>
      <c r="M2" s="1435"/>
      <c r="N2" s="252"/>
      <c r="O2" s="252"/>
      <c r="P2" s="252"/>
      <c r="Q2" s="252"/>
      <c r="R2" s="252"/>
      <c r="S2" s="252"/>
      <c r="T2" s="141"/>
    </row>
    <row r="3" spans="1:20" ht="18.75" customHeight="1">
      <c r="A3" s="607" t="str">
        <f>MainForm!B3</f>
        <v>Date:</v>
      </c>
      <c r="B3" s="267">
        <f>MainForm!C3</f>
        <v>38822</v>
      </c>
      <c r="C3" s="267"/>
      <c r="D3" s="608"/>
      <c r="E3" s="608"/>
      <c r="F3" s="608"/>
      <c r="G3" s="608"/>
      <c r="H3" s="608"/>
      <c r="I3" s="608"/>
      <c r="J3" s="608"/>
      <c r="K3" s="608"/>
      <c r="L3" s="608"/>
      <c r="M3" s="1436"/>
      <c r="N3" s="252"/>
      <c r="O3" s="252"/>
      <c r="P3" s="252"/>
      <c r="Q3" s="632"/>
      <c r="R3" s="252"/>
      <c r="S3" s="252"/>
      <c r="T3" s="141"/>
    </row>
    <row r="4" spans="1:20" ht="12.75">
      <c r="A4" s="607" t="str">
        <f>MainForm!B4</f>
        <v>Site Name:</v>
      </c>
      <c r="B4" s="1010" t="str">
        <f>MainForm!C4</f>
        <v>ooo</v>
      </c>
      <c r="C4" s="267"/>
      <c r="D4" s="608"/>
      <c r="E4" s="608"/>
      <c r="F4" s="608"/>
      <c r="G4" s="608"/>
      <c r="H4" s="608"/>
      <c r="I4" s="608"/>
      <c r="J4" s="608"/>
      <c r="K4" s="608"/>
      <c r="L4" s="608"/>
      <c r="M4" s="1436"/>
      <c r="N4" s="252"/>
      <c r="O4" s="252"/>
      <c r="P4" s="252"/>
      <c r="Q4" s="632"/>
      <c r="R4" s="252"/>
      <c r="S4" s="252"/>
      <c r="T4" s="141"/>
    </row>
    <row r="5" spans="1:20" ht="12.75">
      <c r="A5" s="1011" t="str">
        <f>MainForm!B5</f>
        <v>Sample Name:</v>
      </c>
      <c r="B5" s="1012">
        <f>MainForm!C5</f>
        <v>0</v>
      </c>
      <c r="C5" s="1013"/>
      <c r="D5" s="1014"/>
      <c r="E5" s="1014"/>
      <c r="F5" s="1014"/>
      <c r="G5" s="1014"/>
      <c r="H5" s="1014"/>
      <c r="I5" s="1014"/>
      <c r="J5" s="1009"/>
      <c r="K5" s="252"/>
      <c r="L5" s="252"/>
      <c r="M5" s="1436"/>
      <c r="N5" s="252"/>
      <c r="O5" s="252"/>
      <c r="P5" s="252"/>
      <c r="Q5" s="632"/>
      <c r="R5" s="252"/>
      <c r="S5" s="252"/>
      <c r="T5" s="141"/>
    </row>
    <row r="6" spans="1:20" ht="19.5" customHeight="1" thickBot="1">
      <c r="A6" s="1525" t="s">
        <v>620</v>
      </c>
      <c r="B6" s="1437"/>
      <c r="C6" s="1437"/>
      <c r="D6" s="1438"/>
      <c r="E6" s="1438"/>
      <c r="F6" s="1438"/>
      <c r="G6" s="1438"/>
      <c r="H6" s="1438"/>
      <c r="I6" s="1438"/>
      <c r="J6" s="1438"/>
      <c r="K6" s="608"/>
      <c r="L6" s="608"/>
      <c r="M6" s="1436"/>
      <c r="N6" s="252"/>
      <c r="O6" s="252"/>
      <c r="P6" s="252"/>
      <c r="Q6" s="632"/>
      <c r="R6" s="252"/>
      <c r="S6" s="252"/>
      <c r="T6" s="141"/>
    </row>
    <row r="7" spans="1:20" ht="15.75" customHeight="1" thickBot="1">
      <c r="A7" s="2164" t="s">
        <v>539</v>
      </c>
      <c r="B7" s="2167" t="s">
        <v>572</v>
      </c>
      <c r="C7" s="2169" t="s">
        <v>573</v>
      </c>
      <c r="D7" s="2234" t="s">
        <v>251</v>
      </c>
      <c r="E7" s="2235"/>
      <c r="F7" s="2235"/>
      <c r="G7" s="2235"/>
      <c r="H7" s="2235"/>
      <c r="I7" s="2235"/>
      <c r="J7" s="2236"/>
      <c r="K7" s="252"/>
      <c r="L7" s="252"/>
      <c r="M7" s="1435"/>
      <c r="N7" s="252"/>
      <c r="O7" s="2220" t="s">
        <v>574</v>
      </c>
      <c r="P7" s="2221"/>
      <c r="Q7" s="2222"/>
      <c r="R7" s="1524">
        <v>0.001</v>
      </c>
      <c r="S7" s="252"/>
      <c r="T7" s="141"/>
    </row>
    <row r="8" spans="1:20" ht="15.75" customHeight="1" thickBot="1">
      <c r="A8" s="2165"/>
      <c r="B8" s="2168"/>
      <c r="C8" s="2170"/>
      <c r="D8" s="2228" t="s">
        <v>224</v>
      </c>
      <c r="E8" s="2237" t="s">
        <v>566</v>
      </c>
      <c r="F8" s="2237" t="s">
        <v>567</v>
      </c>
      <c r="G8" s="2237" t="s">
        <v>568</v>
      </c>
      <c r="H8" s="985"/>
      <c r="I8" s="985"/>
      <c r="J8" s="2169" t="s">
        <v>214</v>
      </c>
      <c r="K8" s="590" t="s">
        <v>222</v>
      </c>
      <c r="L8" s="590"/>
      <c r="M8" s="1435"/>
      <c r="N8" s="252"/>
      <c r="O8" s="1475"/>
      <c r="P8" s="1475"/>
      <c r="Q8" s="1476"/>
      <c r="R8" s="252"/>
      <c r="S8" s="252"/>
      <c r="T8" s="141"/>
    </row>
    <row r="9" spans="1:20" ht="15.75" customHeight="1" thickBot="1">
      <c r="A9" s="2165"/>
      <c r="B9" s="2168"/>
      <c r="C9" s="2170"/>
      <c r="D9" s="2229"/>
      <c r="E9" s="2238"/>
      <c r="F9" s="2238"/>
      <c r="G9" s="2238"/>
      <c r="H9" s="985"/>
      <c r="I9" s="985"/>
      <c r="J9" s="2170"/>
      <c r="K9" s="590"/>
      <c r="L9" s="590"/>
      <c r="M9" s="1435"/>
      <c r="N9" s="252"/>
      <c r="O9" s="2223" t="s">
        <v>548</v>
      </c>
      <c r="P9" s="2224"/>
      <c r="Q9" s="2224"/>
      <c r="R9" s="2224"/>
      <c r="S9" s="2225"/>
      <c r="T9" s="141"/>
    </row>
    <row r="10" spans="1:20" ht="15.75" customHeight="1" thickTop="1">
      <c r="A10" s="2227"/>
      <c r="B10" s="2231"/>
      <c r="C10" s="2171"/>
      <c r="D10" s="2230"/>
      <c r="E10" s="2239"/>
      <c r="F10" s="2239"/>
      <c r="G10" s="2239"/>
      <c r="H10" s="985"/>
      <c r="I10" s="985"/>
      <c r="J10" s="2171"/>
      <c r="K10" s="590"/>
      <c r="L10" s="590"/>
      <c r="M10" s="1439"/>
      <c r="N10" s="252"/>
      <c r="O10" s="1471" t="s">
        <v>275</v>
      </c>
      <c r="P10" s="1472"/>
      <c r="Q10" s="1472" t="s">
        <v>274</v>
      </c>
      <c r="R10" s="1473" t="s">
        <v>366</v>
      </c>
      <c r="S10" s="1474" t="s">
        <v>365</v>
      </c>
      <c r="T10" s="141"/>
    </row>
    <row r="11" spans="1:20" ht="15.75" customHeight="1" thickBot="1">
      <c r="A11" s="1426"/>
      <c r="B11" s="986" t="s">
        <v>13</v>
      </c>
      <c r="C11" s="987" t="s">
        <v>293</v>
      </c>
      <c r="D11" s="993" t="s">
        <v>13</v>
      </c>
      <c r="E11" s="994" t="s">
        <v>293</v>
      </c>
      <c r="F11" s="994" t="s">
        <v>63</v>
      </c>
      <c r="G11" s="994" t="s">
        <v>63</v>
      </c>
      <c r="H11" s="993"/>
      <c r="I11" s="993"/>
      <c r="J11" s="995"/>
      <c r="K11" s="1441"/>
      <c r="L11" s="1441"/>
      <c r="M11" s="1439"/>
      <c r="N11" s="252"/>
      <c r="O11" s="1461" t="s">
        <v>142</v>
      </c>
      <c r="P11" s="1462"/>
      <c r="Q11" s="1463" t="s">
        <v>29</v>
      </c>
      <c r="R11" s="156">
        <f>MainForm!G46</f>
        <v>0.43</v>
      </c>
      <c r="S11" s="1464" t="s">
        <v>63</v>
      </c>
      <c r="T11" s="141"/>
    </row>
    <row r="12" spans="1:20" ht="15.75" customHeight="1" thickTop="1">
      <c r="A12" s="1018" t="str">
        <f>MainForm!B12</f>
        <v>Petroleum EC Fraction</v>
      </c>
      <c r="B12" s="1019"/>
      <c r="C12" s="1020"/>
      <c r="D12" s="254"/>
      <c r="E12" s="1021"/>
      <c r="F12" s="1021"/>
      <c r="G12" s="1021"/>
      <c r="H12" s="254"/>
      <c r="I12" s="254"/>
      <c r="J12" s="1022"/>
      <c r="K12" s="252"/>
      <c r="L12" s="252"/>
      <c r="M12" s="390"/>
      <c r="N12" s="252"/>
      <c r="O12" s="1465" t="s">
        <v>143</v>
      </c>
      <c r="P12" s="1443"/>
      <c r="Q12" s="1466" t="s">
        <v>552</v>
      </c>
      <c r="R12" s="156">
        <f>MainForm!G47</f>
        <v>0.3</v>
      </c>
      <c r="S12" s="637" t="s">
        <v>63</v>
      </c>
      <c r="T12" s="141"/>
    </row>
    <row r="13" spans="1:21" ht="15.75" customHeight="1">
      <c r="A13" s="1597" t="str">
        <f>MainForm!B13</f>
        <v>AL_EC &gt;5-6</v>
      </c>
      <c r="B13" s="390">
        <f>MainForm!G13</f>
        <v>35</v>
      </c>
      <c r="C13" s="1428">
        <v>40</v>
      </c>
      <c r="D13" s="996">
        <f>'Soil-to-GroundWater'!D16</f>
        <v>2070.6383482222177</v>
      </c>
      <c r="E13" s="997">
        <f>'Soil-to-GroundWater'!BA16</f>
        <v>108042.15782454137</v>
      </c>
      <c r="F13" s="997">
        <f>'Soil-to-GroundWater'!BG16</f>
        <v>39.72138155314021</v>
      </c>
      <c r="G13" s="997">
        <f>'Soil-to-GroundWater'!BJ16</f>
      </c>
      <c r="H13" s="996"/>
      <c r="I13" s="996"/>
      <c r="J13" s="1023"/>
      <c r="K13" s="1442"/>
      <c r="L13" s="1442"/>
      <c r="M13" s="1435"/>
      <c r="N13" s="252"/>
      <c r="O13" s="1440" t="s">
        <v>145</v>
      </c>
      <c r="P13" s="252"/>
      <c r="Q13" s="1466" t="s">
        <v>553</v>
      </c>
      <c r="R13" s="156">
        <f>MainForm!G48</f>
        <v>0.13</v>
      </c>
      <c r="S13" s="637" t="s">
        <v>63</v>
      </c>
      <c r="T13" s="141"/>
      <c r="U13" s="6"/>
    </row>
    <row r="14" spans="1:21" ht="15.75" customHeight="1">
      <c r="A14" s="1597" t="str">
        <f>MainForm!B14</f>
        <v>AL_EC &gt;6-8</v>
      </c>
      <c r="B14" s="390">
        <f>MainForm!G14</f>
        <v>20</v>
      </c>
      <c r="C14" s="1428">
        <v>40</v>
      </c>
      <c r="D14" s="996">
        <f>'Soil-to-GroundWater'!D17</f>
        <v>1183.2219132698388</v>
      </c>
      <c r="E14" s="997">
        <f>'Soil-to-GroundWater'!BA17</f>
        <v>11416.876464072504</v>
      </c>
      <c r="F14" s="997">
        <f>'Soil-to-GroundWater'!BG17</f>
        <v>4.197381052967832</v>
      </c>
      <c r="G14" s="997">
        <f>'Soil-to-GroundWater'!BJ17</f>
      </c>
      <c r="H14" s="996"/>
      <c r="I14" s="996"/>
      <c r="J14" s="1023"/>
      <c r="K14" s="1442"/>
      <c r="L14" s="1442"/>
      <c r="M14" s="156"/>
      <c r="N14" s="252"/>
      <c r="O14" s="1440" t="s">
        <v>144</v>
      </c>
      <c r="P14" s="252"/>
      <c r="Q14" s="1466" t="s">
        <v>554</v>
      </c>
      <c r="R14" s="156">
        <f>MainForm!G49</f>
        <v>1.5</v>
      </c>
      <c r="S14" s="1464" t="s">
        <v>475</v>
      </c>
      <c r="T14" s="141"/>
      <c r="U14" s="6"/>
    </row>
    <row r="15" spans="1:21" ht="15.75" customHeight="1" thickBot="1">
      <c r="A15" s="1597" t="str">
        <f>MainForm!B15</f>
        <v>AL_EC &gt;8-10</v>
      </c>
      <c r="B15" s="390">
        <f>MainForm!G15</f>
        <v>40</v>
      </c>
      <c r="C15" s="1428">
        <v>40</v>
      </c>
      <c r="D15" s="996">
        <f>'Soil-to-GroundWater'!D18</f>
        <v>2366.4438265396775</v>
      </c>
      <c r="E15" s="997">
        <f>'Soil-to-GroundWater'!BA18</f>
        <v>2240.452180737879</v>
      </c>
      <c r="F15" s="997">
        <f>'Soil-to-GroundWater'!BG18</f>
        <v>16.473913093660876</v>
      </c>
      <c r="G15" s="997">
        <f>'Soil-to-GroundWater'!BJ18</f>
      </c>
      <c r="H15" s="996"/>
      <c r="I15" s="996"/>
      <c r="J15" s="1023"/>
      <c r="K15" s="1442"/>
      <c r="L15" s="1442"/>
      <c r="M15" s="156"/>
      <c r="N15" s="252"/>
      <c r="O15" s="1467" t="s">
        <v>39</v>
      </c>
      <c r="P15" s="1468"/>
      <c r="Q15" s="1469" t="s">
        <v>555</v>
      </c>
      <c r="R15" s="157">
        <f>MainForm!G50</f>
        <v>0.001</v>
      </c>
      <c r="S15" s="1470" t="s">
        <v>63</v>
      </c>
      <c r="T15" s="141"/>
      <c r="U15" s="6"/>
    </row>
    <row r="16" spans="1:21" ht="15.75" customHeight="1" thickBot="1">
      <c r="A16" s="1597" t="str">
        <f>MainForm!B16</f>
        <v>AL_EC &gt;10-12</v>
      </c>
      <c r="B16" s="390">
        <f>MainForm!G16</f>
        <v>57</v>
      </c>
      <c r="C16" s="1428">
        <v>40</v>
      </c>
      <c r="D16" s="996">
        <f>'Soil-to-GroundWater'!D19</f>
        <v>3372.18245281904</v>
      </c>
      <c r="E16" s="997">
        <f>'Soil-to-GroundWater'!BA19</f>
        <v>307.74199360813725</v>
      </c>
      <c r="F16" s="997">
        <f>'Soil-to-GroundWater'!BG19</f>
        <v>2.262808776530421</v>
      </c>
      <c r="G16" s="997">
        <f>'Soil-to-GroundWater'!BJ19</f>
      </c>
      <c r="H16" s="996"/>
      <c r="I16" s="996"/>
      <c r="J16" s="1023"/>
      <c r="K16" s="1442"/>
      <c r="L16" s="1442"/>
      <c r="M16" s="156"/>
      <c r="N16" s="252"/>
      <c r="O16" s="11"/>
      <c r="P16" s="11"/>
      <c r="Q16" s="11"/>
      <c r="R16" s="11"/>
      <c r="S16" s="11"/>
      <c r="T16" s="153"/>
      <c r="U16" s="6"/>
    </row>
    <row r="17" spans="1:20" ht="15.75" customHeight="1" thickBot="1">
      <c r="A17" s="1597" t="str">
        <f>MainForm!B17</f>
        <v>AL_EC &gt;12-16</v>
      </c>
      <c r="B17" s="390">
        <f>MainForm!G17</f>
        <v>125</v>
      </c>
      <c r="C17" s="1428">
        <v>0</v>
      </c>
      <c r="D17" s="996">
        <f>'Soil-to-GroundWater'!D20</f>
        <v>7395.136957936493</v>
      </c>
      <c r="E17" s="997">
        <f>'Soil-to-GroundWater'!BA20</f>
        <v>52.30190232636235</v>
      </c>
      <c r="F17" s="997">
        <f>'Soil-to-GroundWater'!BG20</f>
        <v>0.3845728112232526</v>
      </c>
      <c r="G17" s="997">
        <f>'Soil-to-GroundWater'!BJ20</f>
      </c>
      <c r="H17" s="996"/>
      <c r="I17" s="996"/>
      <c r="J17" s="1023"/>
      <c r="K17" s="1442"/>
      <c r="L17" s="1442"/>
      <c r="M17" s="156"/>
      <c r="N17" s="252"/>
      <c r="O17" s="2217" t="s">
        <v>517</v>
      </c>
      <c r="P17" s="2218"/>
      <c r="Q17" s="2218"/>
      <c r="R17" s="2218"/>
      <c r="S17" s="2219"/>
      <c r="T17" s="153"/>
    </row>
    <row r="18" spans="1:20" ht="15.75" customHeight="1" thickTop="1">
      <c r="A18" s="1597" t="str">
        <f>MainForm!B18</f>
        <v>AL_EC &gt;16-21</v>
      </c>
      <c r="B18" s="390">
        <f>MainForm!G18</f>
        <v>300</v>
      </c>
      <c r="C18" s="1428">
        <v>0</v>
      </c>
      <c r="D18" s="996">
        <f>'Soil-to-GroundWater'!D21</f>
        <v>17748.328699047583</v>
      </c>
      <c r="E18" s="997">
        <f>'Soil-to-GroundWater'!BA21</f>
        <v>1.498573214999187</v>
      </c>
      <c r="F18" s="997">
        <f>'Soil-to-GroundWater'!BG21</f>
        <v>0</v>
      </c>
      <c r="G18" s="997">
        <f>'Soil-to-GroundWater'!BJ21</f>
      </c>
      <c r="H18" s="996"/>
      <c r="I18" s="996"/>
      <c r="J18" s="1023"/>
      <c r="K18" s="1442"/>
      <c r="L18" s="1442"/>
      <c r="M18" s="156"/>
      <c r="N18" s="252"/>
      <c r="O18" s="1427"/>
      <c r="P18" s="823"/>
      <c r="Q18" s="823"/>
      <c r="R18" s="823"/>
      <c r="S18" s="1478"/>
      <c r="T18" s="153"/>
    </row>
    <row r="19" spans="1:20" ht="15.75" customHeight="1">
      <c r="A19" s="1598" t="str">
        <f>MainForm!B19</f>
        <v>AL_EC &gt;21-34</v>
      </c>
      <c r="B19" s="1028">
        <f>MainForm!G19</f>
        <v>0</v>
      </c>
      <c r="C19" s="1428">
        <v>0</v>
      </c>
      <c r="D19" s="1032">
        <f>'Soil-to-GroundWater'!D22</f>
        <v>0</v>
      </c>
      <c r="E19" s="1031">
        <f>'Soil-to-GroundWater'!BA22</f>
        <v>0</v>
      </c>
      <c r="F19" s="1031">
        <f>'Soil-to-GroundWater'!BG22</f>
        <v>0</v>
      </c>
      <c r="G19" s="1031">
        <f>'Soil-to-GroundWater'!BJ22</f>
      </c>
      <c r="H19" s="1032"/>
      <c r="I19" s="1032"/>
      <c r="J19" s="1033"/>
      <c r="K19" s="1442"/>
      <c r="L19" s="1442"/>
      <c r="M19" s="156"/>
      <c r="N19" s="252"/>
      <c r="O19" s="1427"/>
      <c r="P19" s="823"/>
      <c r="Q19" s="823"/>
      <c r="R19" s="823"/>
      <c r="S19" s="1478"/>
      <c r="T19" s="153"/>
    </row>
    <row r="20" spans="1:20" ht="15.75" customHeight="1">
      <c r="A20" s="1597" t="str">
        <f>MainForm!B20</f>
        <v>AR_EC &gt;8-10</v>
      </c>
      <c r="B20" s="390">
        <f>MainForm!G20</f>
        <v>1</v>
      </c>
      <c r="C20" s="1429">
        <v>40</v>
      </c>
      <c r="D20" s="996">
        <f>'Soil-to-GroundWater'!D23</f>
        <v>59.16109566349194</v>
      </c>
      <c r="E20" s="997">
        <f>'Soil-to-GroundWater'!BA23</f>
        <v>54.86491495227999</v>
      </c>
      <c r="F20" s="997">
        <f>'Soil-to-GroundWater'!BG23</f>
        <v>0.30079448986995605</v>
      </c>
      <c r="G20" s="997">
        <f>'Soil-to-GroundWater'!BJ23</f>
      </c>
      <c r="H20" s="996"/>
      <c r="I20" s="996"/>
      <c r="J20" s="1035"/>
      <c r="K20" s="1442"/>
      <c r="L20" s="251"/>
      <c r="M20" s="156"/>
      <c r="N20" s="252"/>
      <c r="O20" s="1427"/>
      <c r="P20" s="823"/>
      <c r="Q20" s="823"/>
      <c r="R20" s="823"/>
      <c r="S20" s="1478"/>
      <c r="T20" s="153"/>
    </row>
    <row r="21" spans="1:20" ht="15.75" customHeight="1">
      <c r="A21" s="1597" t="str">
        <f>MainForm!B21</f>
        <v>AR_EC &gt;10-12</v>
      </c>
      <c r="B21" s="390">
        <f>MainForm!G21</f>
        <v>24</v>
      </c>
      <c r="C21" s="1428">
        <v>40</v>
      </c>
      <c r="D21" s="996">
        <f>'Soil-to-GroundWater'!D24</f>
        <v>1419.8662959238065</v>
      </c>
      <c r="E21" s="997">
        <f>'Soil-to-GroundWater'!BA24</f>
        <v>136.57632923828436</v>
      </c>
      <c r="F21" s="997">
        <f>'Soil-to-GroundWater'!BG24</f>
        <v>99.25605322549737</v>
      </c>
      <c r="G21" s="997">
        <f>'Soil-to-GroundWater'!BJ24</f>
      </c>
      <c r="H21" s="996"/>
      <c r="I21" s="996"/>
      <c r="J21" s="1035"/>
      <c r="K21" s="1442"/>
      <c r="L21" s="251"/>
      <c r="M21" s="156"/>
      <c r="N21" s="252"/>
      <c r="O21" s="1479"/>
      <c r="P21" s="1477"/>
      <c r="Q21" s="139"/>
      <c r="R21" s="1006"/>
      <c r="S21" s="1480"/>
      <c r="T21" s="141"/>
    </row>
    <row r="22" spans="1:20" ht="15.75" customHeight="1">
      <c r="A22" s="1597" t="str">
        <f>MainForm!B22</f>
        <v>AR_EC &gt;12-16</v>
      </c>
      <c r="B22" s="390">
        <f>MainForm!G22</f>
        <v>55</v>
      </c>
      <c r="C22" s="1428">
        <v>0</v>
      </c>
      <c r="D22" s="996">
        <f>'Soil-to-GroundWater'!D25</f>
        <v>3253.8602614920565</v>
      </c>
      <c r="E22" s="997">
        <f>'Soil-to-GroundWater'!BA25</f>
        <v>23.851433421522227</v>
      </c>
      <c r="F22" s="997">
        <f>'Soil-to-GroundWater'!BG25</f>
        <v>0.29814291776902785</v>
      </c>
      <c r="G22" s="997">
        <f>'Soil-to-GroundWater'!BJ25</f>
      </c>
      <c r="H22" s="996"/>
      <c r="I22" s="996"/>
      <c r="J22" s="1035"/>
      <c r="K22" s="1442"/>
      <c r="L22" s="251"/>
      <c r="M22" s="156"/>
      <c r="N22" s="252" t="s">
        <v>93</v>
      </c>
      <c r="O22" s="1479"/>
      <c r="P22" s="1477"/>
      <c r="Q22" s="139"/>
      <c r="R22" s="1006"/>
      <c r="S22" s="1480"/>
      <c r="T22" s="141"/>
    </row>
    <row r="23" spans="1:20" ht="15.75" customHeight="1">
      <c r="A23" s="1597" t="str">
        <f>MainForm!B23</f>
        <v>AR_EC &gt;16-21</v>
      </c>
      <c r="B23" s="390">
        <f>MainForm!G23</f>
        <v>145</v>
      </c>
      <c r="C23" s="1428">
        <v>0</v>
      </c>
      <c r="D23" s="996">
        <f>'Soil-to-GroundWater'!D26</f>
        <v>8578.35887120633</v>
      </c>
      <c r="E23" s="997">
        <f>'Soil-to-GroundWater'!BA26</f>
        <v>1.0713063695345535</v>
      </c>
      <c r="F23" s="997">
        <f>'Soil-to-GroundWater'!BG26</f>
        <v>0</v>
      </c>
      <c r="G23" s="997">
        <f>'Soil-to-GroundWater'!BJ26</f>
      </c>
      <c r="H23" s="996"/>
      <c r="I23" s="996"/>
      <c r="J23" s="1035"/>
      <c r="K23" s="1442"/>
      <c r="L23" s="251"/>
      <c r="M23" s="156"/>
      <c r="N23" s="252"/>
      <c r="O23" s="1508"/>
      <c r="P23" s="1481" t="s">
        <v>564</v>
      </c>
      <c r="Q23" s="1521" t="s">
        <v>630</v>
      </c>
      <c r="R23" s="1522"/>
      <c r="S23" s="1482"/>
      <c r="T23" s="141"/>
    </row>
    <row r="24" spans="1:20" ht="15.75" customHeight="1" thickBot="1">
      <c r="A24" s="1599" t="str">
        <f>MainForm!B24</f>
        <v>AR_EC &gt;21-34</v>
      </c>
      <c r="B24" s="457">
        <f>MainForm!G24</f>
        <v>0</v>
      </c>
      <c r="C24" s="1430">
        <v>0</v>
      </c>
      <c r="D24" s="999">
        <f>'Soil-to-GroundWater'!D27</f>
        <v>0</v>
      </c>
      <c r="E24" s="1000">
        <f>'Soil-to-GroundWater'!BA27</f>
        <v>0</v>
      </c>
      <c r="F24" s="1000">
        <f>'Soil-to-GroundWater'!BG27</f>
        <v>0</v>
      </c>
      <c r="G24" s="1000">
        <f>'Soil-to-GroundWater'!BJ27</f>
      </c>
      <c r="H24" s="999"/>
      <c r="I24" s="999"/>
      <c r="J24" s="1038"/>
      <c r="K24" s="1497"/>
      <c r="L24" s="251"/>
      <c r="M24" s="156"/>
      <c r="N24" s="252"/>
      <c r="O24" s="655"/>
      <c r="P24" s="594" t="s">
        <v>565</v>
      </c>
      <c r="Q24" s="1515">
        <v>500</v>
      </c>
      <c r="R24" s="141"/>
      <c r="S24" s="1480"/>
      <c r="T24" s="141"/>
    </row>
    <row r="25" spans="1:20" ht="15.75" customHeight="1">
      <c r="A25" s="1597" t="s">
        <v>18</v>
      </c>
      <c r="B25" s="390">
        <f>MainForm!G25</f>
        <v>0.03</v>
      </c>
      <c r="C25" s="1429">
        <v>10</v>
      </c>
      <c r="D25" s="996">
        <f>'Soil-to-GroundWater'!D28</f>
        <v>1.7748328699047582</v>
      </c>
      <c r="E25" s="997">
        <f>'Soil-to-GroundWater'!BA28</f>
        <v>31.778584203386217</v>
      </c>
      <c r="F25" s="997">
        <f>'Soil-to-GroundWater'!BG28</f>
        <v>2.3229959213001616</v>
      </c>
      <c r="G25" s="997">
        <f>'Soil-to-GroundWater'!BM28</f>
        <v>9.805963125616319E-05</v>
      </c>
      <c r="H25" s="996"/>
      <c r="I25" s="996"/>
      <c r="J25" s="1431" t="str">
        <f>IF(K25&gt;0,"Fail","")</f>
        <v>Fail</v>
      </c>
      <c r="K25" s="1498">
        <f>IF(G25&gt;0.000001,1,)</f>
        <v>1</v>
      </c>
      <c r="L25" s="251"/>
      <c r="M25" s="156"/>
      <c r="N25" s="252"/>
      <c r="O25" s="655"/>
      <c r="P25" s="594" t="s">
        <v>571</v>
      </c>
      <c r="Q25" s="1523">
        <v>78533.90116047511</v>
      </c>
      <c r="R25" s="141"/>
      <c r="S25" s="1444"/>
      <c r="T25" s="141"/>
    </row>
    <row r="26" spans="1:20" s="229" customFormat="1" ht="15.75" customHeight="1">
      <c r="A26" s="1597" t="s">
        <v>19</v>
      </c>
      <c r="B26" s="390">
        <f>MainForm!G26</f>
        <v>5</v>
      </c>
      <c r="C26" s="1428">
        <v>15</v>
      </c>
      <c r="D26" s="996">
        <f>'Soil-to-GroundWater'!D29</f>
        <v>295.8054783174597</v>
      </c>
      <c r="E26" s="997">
        <f>'Soil-to-GroundWater'!BA29</f>
        <v>1634.4434871623628</v>
      </c>
      <c r="F26" s="997">
        <f>'Soil-to-GroundWater'!BG29</f>
        <v>0.7296622710546262</v>
      </c>
      <c r="G26" s="997">
        <f>'Soil-to-GroundWater'!BJ29</f>
      </c>
      <c r="H26" s="996"/>
      <c r="I26" s="996"/>
      <c r="J26" s="1431"/>
      <c r="K26" s="1498"/>
      <c r="L26" s="251"/>
      <c r="M26" s="156"/>
      <c r="N26" s="252"/>
      <c r="O26" s="964"/>
      <c r="P26" s="594" t="s">
        <v>570</v>
      </c>
      <c r="Q26" s="1523">
        <v>2.4428137457068992E-05</v>
      </c>
      <c r="R26" s="141"/>
      <c r="S26" s="1445"/>
      <c r="T26" s="141"/>
    </row>
    <row r="27" spans="1:20" s="229" customFormat="1" ht="15.75" customHeight="1">
      <c r="A27" s="1597" t="s">
        <v>113</v>
      </c>
      <c r="B27" s="390">
        <f>MainForm!G27</f>
        <v>7</v>
      </c>
      <c r="C27" s="1428">
        <v>5</v>
      </c>
      <c r="D27" s="996">
        <f>'Soil-to-GroundWater'!D30</f>
        <v>414.12766964444353</v>
      </c>
      <c r="E27" s="997">
        <f>'Soil-to-GroundWater'!BA30</f>
        <v>761.4906275047528</v>
      </c>
      <c r="F27" s="997">
        <f>'Soil-to-GroundWater'!BG30</f>
        <v>1.664096651015631</v>
      </c>
      <c r="G27" s="997">
        <f>'Soil-to-GroundWater'!BJ30</f>
      </c>
      <c r="H27" s="996"/>
      <c r="I27" s="996"/>
      <c r="J27" s="1431"/>
      <c r="K27" s="1498"/>
      <c r="L27" s="251"/>
      <c r="M27" s="156"/>
      <c r="N27" s="156"/>
      <c r="O27" s="964"/>
      <c r="P27" s="594" t="s">
        <v>569</v>
      </c>
      <c r="Q27" s="906">
        <v>150.65911678169866</v>
      </c>
      <c r="R27" s="222"/>
      <c r="S27" s="1445"/>
      <c r="T27" s="141"/>
    </row>
    <row r="28" spans="1:20" ht="15.75" customHeight="1" thickBot="1">
      <c r="A28" s="1599" t="s">
        <v>170</v>
      </c>
      <c r="B28" s="457">
        <f>MainForm!G28</f>
        <v>13</v>
      </c>
      <c r="C28" s="1430">
        <v>36</v>
      </c>
      <c r="D28" s="999">
        <f>'Soil-to-GroundWater'!D31</f>
        <v>769.0942436253952</v>
      </c>
      <c r="E28" s="1000">
        <f>'Soil-to-GroundWater'!BA31</f>
        <v>1235.791833411677</v>
      </c>
      <c r="F28" s="1000">
        <f>'Soil-to-GroundWater'!BG31</f>
        <v>26.63344468559649</v>
      </c>
      <c r="G28" s="1000">
        <f>'Soil-to-GroundWater'!BJ31</f>
      </c>
      <c r="H28" s="999"/>
      <c r="I28" s="999"/>
      <c r="J28" s="1432"/>
      <c r="K28" s="1498"/>
      <c r="L28" s="251"/>
      <c r="M28" s="156"/>
      <c r="N28" s="252"/>
      <c r="O28" s="1516" t="s">
        <v>138</v>
      </c>
      <c r="P28" s="1517"/>
      <c r="Q28" s="1491" t="s">
        <v>652</v>
      </c>
      <c r="R28" s="1190"/>
      <c r="S28" s="1518"/>
      <c r="T28" s="141"/>
    </row>
    <row r="29" spans="1:20" ht="15.75" customHeight="1">
      <c r="A29" s="1597" t="str">
        <f>MainForm!B29</f>
        <v>Naphthalene</v>
      </c>
      <c r="B29" s="390">
        <f>MainForm!G29</f>
        <v>15</v>
      </c>
      <c r="C29" s="1429">
        <v>2.5</v>
      </c>
      <c r="D29" s="996">
        <f>'Soil-to-GroundWater'!D32</f>
        <v>887.4164349523792</v>
      </c>
      <c r="E29" s="997">
        <f>'Soil-to-GroundWater'!BA32</f>
        <v>15.21376373795673</v>
      </c>
      <c r="F29" s="997">
        <f>'Soil-to-GroundWater'!BG32</f>
        <v>11.056514344445299</v>
      </c>
      <c r="G29" s="997">
        <f>'Soil-to-GroundWater'!BJ32</f>
      </c>
      <c r="H29" s="996"/>
      <c r="I29" s="996"/>
      <c r="J29" s="1431"/>
      <c r="K29" s="1498"/>
      <c r="L29" s="251"/>
      <c r="M29" s="156"/>
      <c r="N29" s="252"/>
      <c r="O29" s="1507" t="s">
        <v>127</v>
      </c>
      <c r="P29" s="1457"/>
      <c r="Q29" s="1519" t="s">
        <v>653</v>
      </c>
      <c r="R29" s="1520"/>
      <c r="S29" s="1448"/>
      <c r="T29" s="252"/>
    </row>
    <row r="30" spans="1:20" ht="15.75" customHeight="1">
      <c r="A30" s="1597" t="str">
        <f>MainForm!B30</f>
        <v>1-Methyl Naphthalene</v>
      </c>
      <c r="B30" s="390">
        <f>MainForm!G30</f>
        <v>0</v>
      </c>
      <c r="C30" s="1429">
        <v>5</v>
      </c>
      <c r="D30" s="996">
        <f>'Soil-to-GroundWater'!D33</f>
        <v>0</v>
      </c>
      <c r="E30" s="997">
        <f>'Soil-to-GroundWater'!BA33</f>
        <v>0</v>
      </c>
      <c r="F30" s="997">
        <f>'Soil-to-GroundWater'!BG33</f>
        <v>0</v>
      </c>
      <c r="G30" s="997"/>
      <c r="H30" s="996"/>
      <c r="I30" s="996"/>
      <c r="J30" s="1431"/>
      <c r="K30" s="1498"/>
      <c r="L30" s="251"/>
      <c r="M30" s="156"/>
      <c r="N30" s="252"/>
      <c r="O30" s="1449">
        <f>IF('Soil-to-GroundWater'!Q51&lt;0,"NAPL is supersaturated, Computation is not Correct!","")</f>
      </c>
      <c r="P30" s="1458"/>
      <c r="Q30" s="1450"/>
      <c r="R30" s="1451"/>
      <c r="S30" s="1452"/>
      <c r="T30" s="252"/>
    </row>
    <row r="31" spans="1:20" ht="15.75" customHeight="1" thickBot="1">
      <c r="A31" s="1597" t="str">
        <f>MainForm!B31</f>
        <v>2-Methyl Naphthalene</v>
      </c>
      <c r="B31" s="390">
        <f>MainForm!G31</f>
        <v>0</v>
      </c>
      <c r="C31" s="1429">
        <v>5</v>
      </c>
      <c r="D31" s="996">
        <f>'Soil-to-GroundWater'!D34</f>
        <v>0</v>
      </c>
      <c r="E31" s="997">
        <f>'Soil-to-GroundWater'!BA34</f>
        <v>0</v>
      </c>
      <c r="F31" s="997">
        <f>'Soil-to-GroundWater'!BG34</f>
        <v>0</v>
      </c>
      <c r="G31" s="997"/>
      <c r="H31" s="996"/>
      <c r="I31" s="996"/>
      <c r="J31" s="1431"/>
      <c r="K31" s="1498"/>
      <c r="L31" s="251"/>
      <c r="M31" s="156"/>
      <c r="N31" s="156"/>
      <c r="O31" s="1453" t="str">
        <f>IF(E44&gt;1000,"Please Check Soil Residual Saturation TPH Levels: Refer to Table 747-5!"," ")</f>
        <v> </v>
      </c>
      <c r="P31" s="1459"/>
      <c r="Q31" s="1454"/>
      <c r="R31" s="1455"/>
      <c r="S31" s="1456"/>
      <c r="T31" s="141"/>
    </row>
    <row r="32" spans="1:20" ht="15.75" customHeight="1">
      <c r="A32" s="1597" t="str">
        <f>MainForm!B32</f>
        <v>n-Hexane</v>
      </c>
      <c r="B32" s="390">
        <f>MainForm!G32</f>
        <v>0</v>
      </c>
      <c r="C32" s="1428">
        <v>1</v>
      </c>
      <c r="D32" s="996">
        <f>'Soil-to-GroundWater'!D35</f>
        <v>0</v>
      </c>
      <c r="E32" s="997">
        <f>'Soil-to-GroundWater'!BA35</f>
        <v>0</v>
      </c>
      <c r="F32" s="997">
        <f>'Soil-to-GroundWater'!BG35</f>
        <v>0</v>
      </c>
      <c r="G32" s="997">
        <f>'Soil-to-GroundWater'!BJ35</f>
      </c>
      <c r="H32" s="996"/>
      <c r="I32" s="996"/>
      <c r="J32" s="1431"/>
      <c r="K32" s="1498"/>
      <c r="L32" s="251"/>
      <c r="M32" s="156"/>
      <c r="N32" s="252"/>
      <c r="O32" s="254"/>
      <c r="P32" s="254"/>
      <c r="Q32" s="255"/>
      <c r="R32" s="156"/>
      <c r="S32" s="256"/>
      <c r="T32" s="141"/>
    </row>
    <row r="33" spans="1:20" ht="15.75" customHeight="1">
      <c r="A33" s="1597" t="str">
        <f>MainForm!B33</f>
        <v>MTBE</v>
      </c>
      <c r="B33" s="390">
        <f>MainForm!G33</f>
        <v>0</v>
      </c>
      <c r="C33" s="1428">
        <v>10</v>
      </c>
      <c r="D33" s="996">
        <f>'Soil-to-GroundWater'!D36</f>
        <v>0</v>
      </c>
      <c r="E33" s="997">
        <f>'Soil-to-GroundWater'!BA36</f>
        <v>0</v>
      </c>
      <c r="F33" s="997">
        <f>'Soil-to-GroundWater'!BG36</f>
        <v>0</v>
      </c>
      <c r="G33" s="997">
        <f>'Soil-to-GroundWater'!BJ36</f>
      </c>
      <c r="H33" s="996"/>
      <c r="I33" s="996"/>
      <c r="J33" s="1431"/>
      <c r="K33" s="1498"/>
      <c r="L33" s="251"/>
      <c r="M33" s="156"/>
      <c r="N33" s="252"/>
      <c r="O33" s="252"/>
      <c r="P33" s="252"/>
      <c r="Q33" s="252"/>
      <c r="R33" s="252"/>
      <c r="S33" s="252"/>
      <c r="T33" s="141"/>
    </row>
    <row r="34" spans="1:20" ht="15.75" customHeight="1">
      <c r="A34" s="1597" t="str">
        <f>MainForm!B34</f>
        <v>Ethylene Dibromide (EDB)</v>
      </c>
      <c r="B34" s="390">
        <f>MainForm!G34</f>
        <v>0</v>
      </c>
      <c r="C34" s="1428">
        <v>0</v>
      </c>
      <c r="D34" s="996">
        <f>'Soil-to-GroundWater'!D37</f>
        <v>0</v>
      </c>
      <c r="E34" s="997">
        <f>'Soil-to-GroundWater'!BA37</f>
        <v>0</v>
      </c>
      <c r="F34" s="997">
        <f>'Soil-to-GroundWater'!BG37</f>
        <v>0</v>
      </c>
      <c r="G34" s="997">
        <f>'Soil-to-GroundWater'!BM37</f>
        <v>0</v>
      </c>
      <c r="H34" s="996"/>
      <c r="I34" s="996"/>
      <c r="J34" s="1431">
        <f>IF(K34&gt;0,"Fail","")</f>
      </c>
      <c r="K34" s="1498">
        <f>IF(G34&gt;0.000001,1,)</f>
        <v>0</v>
      </c>
      <c r="L34" s="251"/>
      <c r="M34" s="156"/>
      <c r="N34" s="252"/>
      <c r="O34" s="839"/>
      <c r="P34" s="839"/>
      <c r="Q34" s="252"/>
      <c r="R34" s="252"/>
      <c r="S34" s="252"/>
      <c r="T34" s="141"/>
    </row>
    <row r="35" spans="1:20" ht="15.75" customHeight="1" thickBot="1">
      <c r="A35" s="1599" t="str">
        <f>MainForm!B35</f>
        <v>1,2 Dichloroethane (EDC)</v>
      </c>
      <c r="B35" s="457">
        <f>MainForm!G35</f>
        <v>0</v>
      </c>
      <c r="C35" s="1430">
        <v>0</v>
      </c>
      <c r="D35" s="1433">
        <f>'Soil-to-GroundWater'!D38</f>
        <v>0</v>
      </c>
      <c r="E35" s="1000">
        <f>'Soil-to-GroundWater'!BA38</f>
        <v>0</v>
      </c>
      <c r="F35" s="1000">
        <f>'Soil-to-GroundWater'!BG38</f>
        <v>0</v>
      </c>
      <c r="G35" s="1000">
        <f>'Soil-to-GroundWater'!BM38</f>
        <v>0</v>
      </c>
      <c r="H35" s="999"/>
      <c r="I35" s="999"/>
      <c r="J35" s="1432">
        <f>IF(K35&gt;0,"Fail","")</f>
      </c>
      <c r="K35" s="1498">
        <f>IF(G35&gt;0.000001,1,)</f>
        <v>0</v>
      </c>
      <c r="L35" s="251"/>
      <c r="M35" s="156"/>
      <c r="N35" s="252"/>
      <c r="O35" s="252"/>
      <c r="P35" s="252"/>
      <c r="Q35" s="252"/>
      <c r="R35" s="252"/>
      <c r="S35" s="252"/>
      <c r="T35" s="141"/>
    </row>
    <row r="36" spans="1:20" ht="15.75" customHeight="1">
      <c r="A36" s="1597" t="str">
        <f>MainForm!B36</f>
        <v>Benzo(a)anthracene</v>
      </c>
      <c r="B36" s="390">
        <f>MainForm!G36</f>
        <v>0</v>
      </c>
      <c r="C36" s="1429">
        <v>0</v>
      </c>
      <c r="D36" s="996">
        <f>'Soil-to-GroundWater'!D39</f>
        <v>0</v>
      </c>
      <c r="E36" s="997">
        <f>'Soil-to-GroundWater'!BA39</f>
        <v>0</v>
      </c>
      <c r="F36" s="997"/>
      <c r="G36" s="997">
        <f>'Soil-to-GroundWater'!BM39</f>
        <v>0</v>
      </c>
      <c r="H36" s="996"/>
      <c r="I36" s="996"/>
      <c r="J36" s="998" t="s">
        <v>359</v>
      </c>
      <c r="K36" s="1498"/>
      <c r="L36" s="251"/>
      <c r="M36" s="156"/>
      <c r="N36" s="252"/>
      <c r="O36" s="254"/>
      <c r="P36" s="254"/>
      <c r="Q36" s="1446"/>
      <c r="R36" s="252"/>
      <c r="S36" s="252"/>
      <c r="T36" s="141"/>
    </row>
    <row r="37" spans="1:20" ht="15.75" customHeight="1">
      <c r="A37" s="1597" t="str">
        <f>MainForm!B37</f>
        <v>Benzo(b)fluoranthene</v>
      </c>
      <c r="B37" s="390">
        <f>MainForm!G37</f>
        <v>0</v>
      </c>
      <c r="C37" s="1428">
        <v>0</v>
      </c>
      <c r="D37" s="996">
        <f>'Soil-to-GroundWater'!D40</f>
        <v>0</v>
      </c>
      <c r="E37" s="997">
        <f>'Soil-to-GroundWater'!BA40</f>
        <v>0</v>
      </c>
      <c r="F37" s="997"/>
      <c r="G37" s="997">
        <f>'Soil-to-GroundWater'!BM40</f>
        <v>0</v>
      </c>
      <c r="H37" s="996"/>
      <c r="I37" s="996"/>
      <c r="J37" s="998" t="s">
        <v>368</v>
      </c>
      <c r="K37" s="1498"/>
      <c r="L37" s="251"/>
      <c r="M37" s="156"/>
      <c r="N37" s="252"/>
      <c r="O37" s="254"/>
      <c r="P37" s="254"/>
      <c r="Q37" s="141"/>
      <c r="R37" s="252"/>
      <c r="S37" s="252"/>
      <c r="T37" s="141"/>
    </row>
    <row r="38" spans="1:20" ht="15.75" customHeight="1">
      <c r="A38" s="1597" t="str">
        <f>MainForm!B38</f>
        <v>Benzo(k)fluoranthene</v>
      </c>
      <c r="B38" s="390">
        <f>MainForm!G38</f>
        <v>1</v>
      </c>
      <c r="C38" s="1428">
        <v>0</v>
      </c>
      <c r="D38" s="996">
        <f>'Soil-to-GroundWater'!D41</f>
        <v>59.16109566349194</v>
      </c>
      <c r="E38" s="997">
        <f>'Soil-to-GroundWater'!BA41</f>
        <v>2.2829589886372084E-08</v>
      </c>
      <c r="F38" s="997"/>
      <c r="G38" s="997">
        <f>'Soil-to-GroundWater'!BM41</f>
        <v>1.591548552078511E-12</v>
      </c>
      <c r="H38" s="996"/>
      <c r="I38" s="996"/>
      <c r="J38" s="998" t="s">
        <v>360</v>
      </c>
      <c r="K38" s="1498"/>
      <c r="L38" s="251"/>
      <c r="M38" s="156"/>
      <c r="N38" s="252"/>
      <c r="O38" s="254"/>
      <c r="P38" s="254"/>
      <c r="Q38" s="1447"/>
      <c r="R38" s="252"/>
      <c r="S38" s="252"/>
      <c r="T38" s="141"/>
    </row>
    <row r="39" spans="1:20" ht="15.75" customHeight="1">
      <c r="A39" s="1597" t="str">
        <f>MainForm!B39</f>
        <v>Benzo(a)pyrene</v>
      </c>
      <c r="B39" s="390">
        <f>MainForm!G39</f>
        <v>0.07</v>
      </c>
      <c r="C39" s="1428">
        <v>0</v>
      </c>
      <c r="D39" s="996">
        <f>'Soil-to-GroundWater'!D42</f>
        <v>4.141276696444436</v>
      </c>
      <c r="E39" s="997">
        <f>'Soil-to-GroundWater'!BA42</f>
        <v>4.406762483263206E-09</v>
      </c>
      <c r="F39" s="997"/>
      <c r="G39" s="997">
        <f>'Soil-to-GroundWater'!BM42</f>
        <v>3.0721429883320637E-12</v>
      </c>
      <c r="H39" s="996"/>
      <c r="I39" s="996"/>
      <c r="J39" s="1431"/>
      <c r="K39" s="1498"/>
      <c r="L39" s="251"/>
      <c r="M39" s="156"/>
      <c r="N39" s="252"/>
      <c r="O39" s="254"/>
      <c r="P39" s="254"/>
      <c r="Q39" s="141"/>
      <c r="R39" s="252"/>
      <c r="S39" s="252"/>
      <c r="T39" s="141"/>
    </row>
    <row r="40" spans="1:20" ht="15.75" customHeight="1">
      <c r="A40" s="1597" t="str">
        <f>MainForm!B40</f>
        <v>Chrysene</v>
      </c>
      <c r="B40" s="390">
        <f>MainForm!G40</f>
        <v>1</v>
      </c>
      <c r="C40" s="1428">
        <v>0</v>
      </c>
      <c r="D40" s="996">
        <f>'Soil-to-GroundWater'!D43</f>
        <v>59.16109566349194</v>
      </c>
      <c r="E40" s="997">
        <f>'Soil-to-GroundWater'!BA43</f>
        <v>5.7582959074858345E-06</v>
      </c>
      <c r="F40" s="997"/>
      <c r="G40" s="997">
        <f>'Soil-to-GroundWater'!BM43</f>
        <v>4.014354861218696E-11</v>
      </c>
      <c r="H40" s="996"/>
      <c r="I40" s="996"/>
      <c r="J40" s="1431">
        <f>IF(K40&gt;0,"Fail","")</f>
      </c>
      <c r="K40" s="1498">
        <f>IF(SUM(G36:G42)&gt;0.00001,1,)</f>
        <v>0</v>
      </c>
      <c r="L40" s="251"/>
      <c r="M40" s="156"/>
      <c r="N40" s="252"/>
      <c r="O40" s="254"/>
      <c r="P40" s="254"/>
      <c r="Q40" s="141"/>
      <c r="R40" s="252"/>
      <c r="S40" s="252"/>
      <c r="T40" s="141"/>
    </row>
    <row r="41" spans="1:20" ht="13.5" customHeight="1">
      <c r="A41" s="1597" t="str">
        <f>MainForm!B41</f>
        <v>Dibenz(a,h)anthracene</v>
      </c>
      <c r="B41" s="390">
        <f>MainForm!G41</f>
        <v>0.05</v>
      </c>
      <c r="C41" s="1428">
        <v>0</v>
      </c>
      <c r="D41" s="996">
        <f>'Soil-to-GroundWater'!D44</f>
        <v>2.9580547831745974</v>
      </c>
      <c r="E41" s="997">
        <f>'Soil-to-GroundWater'!BA44</f>
        <v>5.718333427020476E-11</v>
      </c>
      <c r="F41" s="997"/>
      <c r="G41" s="997">
        <f>'Soil-to-GroundWater'!BM44</f>
        <v>3.98649530340856E-15</v>
      </c>
      <c r="H41" s="996"/>
      <c r="I41" s="996"/>
      <c r="J41" s="1832" t="s">
        <v>648</v>
      </c>
      <c r="K41" s="1498"/>
      <c r="L41" s="251"/>
      <c r="M41" s="156"/>
      <c r="N41" s="252"/>
      <c r="O41" s="141"/>
      <c r="P41" s="141"/>
      <c r="Q41" s="141"/>
      <c r="R41" s="141"/>
      <c r="S41" s="141"/>
      <c r="T41" s="141"/>
    </row>
    <row r="42" spans="1:20" ht="15.75" customHeight="1" thickBot="1">
      <c r="A42" s="1599" t="str">
        <f>MainForm!B42</f>
        <v>Indeno(1,2,3-cd)pyrene</v>
      </c>
      <c r="B42" s="457">
        <f>MainForm!G42</f>
        <v>1</v>
      </c>
      <c r="C42" s="1430">
        <v>0</v>
      </c>
      <c r="D42" s="999">
        <f>'Soil-to-GroundWater'!D45</f>
        <v>59.16109566349194</v>
      </c>
      <c r="E42" s="997">
        <f>'Soil-to-GroundWater'!BA45</f>
        <v>1.1061084902457805E-09</v>
      </c>
      <c r="F42" s="997"/>
      <c r="G42" s="997">
        <f>'Soil-to-GroundWater'!BM45</f>
        <v>7.711156331999156E-14</v>
      </c>
      <c r="H42" s="999"/>
      <c r="I42" s="999"/>
      <c r="J42" s="1833">
        <f>SUM(G36:G42)</f>
        <v>4.488833821122093E-11</v>
      </c>
      <c r="K42" s="1498"/>
      <c r="L42" s="1551"/>
      <c r="M42" s="156"/>
      <c r="N42" s="252"/>
      <c r="O42" s="141"/>
      <c r="P42" s="141"/>
      <c r="Q42" s="141"/>
      <c r="R42" s="141"/>
      <c r="S42" s="141"/>
      <c r="T42" s="141"/>
    </row>
    <row r="43" spans="1:20" ht="14.25" thickBot="1">
      <c r="A43" s="1047" t="s">
        <v>20</v>
      </c>
      <c r="B43" s="1490">
        <f>SUM(B13:B42)</f>
        <v>845.15</v>
      </c>
      <c r="C43" s="458"/>
      <c r="D43" s="1049">
        <f>SUM(D13:D42)</f>
        <v>50000.00000000019</v>
      </c>
      <c r="E43" s="1050">
        <f>SUM(E13:E42)</f>
        <v>125956.11122428974</v>
      </c>
      <c r="F43" s="1050">
        <f>SUM(F13:F42)</f>
        <v>205.30176179407115</v>
      </c>
      <c r="G43" s="1050">
        <f>SUM(G13:G42)</f>
        <v>9.80596761445014E-05</v>
      </c>
      <c r="H43" s="1049"/>
      <c r="I43" s="1049"/>
      <c r="J43" s="1434" t="str">
        <f>IF(F43&gt;1.0001,"Fail",IF(G43&gt;0.000010001,"Fail",""))</f>
        <v>Fail</v>
      </c>
      <c r="K43" s="1460"/>
      <c r="L43" s="252"/>
      <c r="M43" s="1551"/>
      <c r="N43" s="252"/>
      <c r="O43" s="141"/>
      <c r="P43" s="141"/>
      <c r="Q43" s="141"/>
      <c r="R43" s="141"/>
      <c r="S43" s="141"/>
      <c r="T43" s="141"/>
    </row>
    <row r="44" spans="1:14" ht="13.5">
      <c r="A44" s="1492"/>
      <c r="B44" s="1493"/>
      <c r="C44" s="1494"/>
      <c r="D44" s="1495"/>
      <c r="E44" s="2232"/>
      <c r="F44" s="2233"/>
      <c r="G44" s="1496"/>
      <c r="H44" s="1496"/>
      <c r="I44" s="1496"/>
      <c r="J44" s="1496"/>
      <c r="K44" s="1488"/>
      <c r="L44" s="253"/>
      <c r="M44" s="1489"/>
      <c r="N44" s="253"/>
    </row>
    <row r="45" spans="1:14" ht="18.75" customHeight="1" hidden="1">
      <c r="A45" s="1483"/>
      <c r="B45" s="1484"/>
      <c r="C45" s="1485"/>
      <c r="D45" s="1486"/>
      <c r="E45" s="1487"/>
      <c r="F45" s="1488"/>
      <c r="G45" s="1488"/>
      <c r="H45" s="1488"/>
      <c r="I45" s="1488"/>
      <c r="J45" s="1488"/>
      <c r="K45" s="1488"/>
      <c r="L45" s="253"/>
      <c r="M45" s="1489"/>
      <c r="N45" s="253"/>
    </row>
    <row r="46" spans="1:19" ht="15.75" hidden="1">
      <c r="A46" s="1483"/>
      <c r="B46" s="1484"/>
      <c r="C46" s="1485"/>
      <c r="D46" s="1486"/>
      <c r="E46" s="1487"/>
      <c r="F46" s="1488"/>
      <c r="G46" s="1488"/>
      <c r="H46" s="1488"/>
      <c r="I46" s="1488"/>
      <c r="J46" s="1488"/>
      <c r="K46" s="1488"/>
      <c r="L46" s="253"/>
      <c r="M46" s="1489"/>
      <c r="N46" s="253"/>
      <c r="O46" s="253"/>
      <c r="P46" s="253"/>
      <c r="Q46" s="253"/>
      <c r="R46" s="253"/>
      <c r="S46" s="253"/>
    </row>
    <row r="47" spans="1:19" ht="15.75" hidden="1">
      <c r="A47" s="144"/>
      <c r="B47" s="145"/>
      <c r="C47" s="146"/>
      <c r="D47" s="147"/>
      <c r="E47" s="148"/>
      <c r="F47" s="149"/>
      <c r="G47" s="149"/>
      <c r="H47" s="149"/>
      <c r="I47" s="149"/>
      <c r="J47" s="149"/>
      <c r="K47" s="149"/>
      <c r="O47" s="253"/>
      <c r="P47" s="253"/>
      <c r="Q47" s="253"/>
      <c r="R47" s="253"/>
      <c r="S47" s="253"/>
    </row>
    <row r="48" spans="6:19" ht="13.5" hidden="1">
      <c r="F48" s="151"/>
      <c r="G48" s="150" t="s">
        <v>270</v>
      </c>
      <c r="J48" s="152"/>
      <c r="K48" s="152">
        <f>IF(G43&gt;0.000010001,1,0)</f>
        <v>1</v>
      </c>
      <c r="O48" s="253"/>
      <c r="P48" s="253"/>
      <c r="Q48" s="253"/>
      <c r="R48" s="253"/>
      <c r="S48" s="253"/>
    </row>
    <row r="49" spans="7:18" ht="13.5" hidden="1">
      <c r="G49" s="150" t="s">
        <v>271</v>
      </c>
      <c r="J49" s="152"/>
      <c r="K49" s="152">
        <f>IF(F43&gt;1.00001,1,0)</f>
        <v>1</v>
      </c>
      <c r="P49" s="1509" t="s">
        <v>564</v>
      </c>
      <c r="Q49" s="1514" t="str">
        <f>K52</f>
        <v>Fail</v>
      </c>
      <c r="R49" s="236"/>
    </row>
    <row r="50" spans="7:18" ht="12.75" hidden="1">
      <c r="G50" s="150" t="s">
        <v>22</v>
      </c>
      <c r="K50" s="158">
        <f>SUM(K13:K49)</f>
        <v>3</v>
      </c>
      <c r="O50" s="229"/>
      <c r="P50" s="1509" t="s">
        <v>565</v>
      </c>
      <c r="Q50" s="2226">
        <f>ini</f>
        <v>50000.00000000021</v>
      </c>
      <c r="R50" s="2226"/>
    </row>
    <row r="51" spans="15:18" ht="15" hidden="1">
      <c r="O51" s="229"/>
      <c r="P51" s="1509" t="s">
        <v>571</v>
      </c>
      <c r="Q51" s="2216">
        <f>E43</f>
        <v>125956.11122428974</v>
      </c>
      <c r="R51" s="2216"/>
    </row>
    <row r="52" spans="7:18" ht="12.75" hidden="1">
      <c r="G52" s="150" t="s">
        <v>273</v>
      </c>
      <c r="K52" s="158" t="str">
        <f>IF(K50&gt;0,"Fail","Pass")</f>
        <v>Fail</v>
      </c>
      <c r="O52" s="1509"/>
      <c r="P52" s="1509" t="s">
        <v>570</v>
      </c>
      <c r="Q52" s="1511">
        <f>G43</f>
        <v>9.80596761445014E-05</v>
      </c>
      <c r="R52" s="1510"/>
    </row>
    <row r="53" spans="15:18" ht="12.75" hidden="1">
      <c r="O53" s="1509"/>
      <c r="P53" s="1509" t="s">
        <v>569</v>
      </c>
      <c r="Q53" s="1511">
        <f>F43</f>
        <v>205.30176179407115</v>
      </c>
      <c r="R53" s="1510"/>
    </row>
    <row r="54" spans="15:18" ht="12.75" hidden="1">
      <c r="O54" s="253" t="s">
        <v>138</v>
      </c>
      <c r="P54" s="1512"/>
      <c r="Q54" s="1513" t="str">
        <f>IF(inival&gt;0,IF(park&lt;0.001,"4-Phase Model","3-Phase Model"),"3-Phase Model")</f>
        <v>4-Phase Model</v>
      </c>
      <c r="R54" s="253"/>
    </row>
    <row r="55" spans="15:18" ht="12.75" hidden="1">
      <c r="O55" s="253" t="s">
        <v>127</v>
      </c>
      <c r="P55" s="1512"/>
      <c r="Q55" s="1514" t="str">
        <f>IF(ISTEXT(Q36),"Undefined",'Soil-to-GroundWater'!AP52)</f>
        <v>Yes!</v>
      </c>
      <c r="R55" s="253"/>
    </row>
    <row r="56" ht="12.75" hidden="1"/>
    <row r="57" ht="12.75" hidden="1"/>
  </sheetData>
  <sheetProtection/>
  <mergeCells count="15">
    <mergeCell ref="D7:J7"/>
    <mergeCell ref="E8:E10"/>
    <mergeCell ref="F8:F10"/>
    <mergeCell ref="G8:G10"/>
    <mergeCell ref="J8:J10"/>
    <mergeCell ref="Q51:R51"/>
    <mergeCell ref="O17:S17"/>
    <mergeCell ref="O7:Q7"/>
    <mergeCell ref="O9:S9"/>
    <mergeCell ref="Q50:R50"/>
    <mergeCell ref="A7:A10"/>
    <mergeCell ref="D8:D10"/>
    <mergeCell ref="B7:B10"/>
    <mergeCell ref="C7:C10"/>
    <mergeCell ref="E44:F44"/>
  </mergeCells>
  <conditionalFormatting sqref="Q23">
    <cfRule type="cellIs" priority="1" dxfId="0" operator="equal" stopIfTrue="1">
      <formula>"Fail"</formula>
    </cfRule>
  </conditionalFormatting>
  <printOptions horizontalCentered="1"/>
  <pageMargins left="0.27" right="0.32" top="0.66" bottom="0.51" header="0.3" footer="0.3"/>
  <pageSetup blackAndWhite="1" horizontalDpi="300" verticalDpi="300" orientation="landscape" scale="75" r:id="rId4"/>
  <headerFooter alignWithMargins="0">
    <oddHeader>&amp;CWashington State Department of Ecology, Toxics Cleanup Program: Soil Cleanup Level for TPH Sites - Protection of Air Quality</oddHeader>
    <oddFooter>&amp;R&amp;D:  &amp;F</oddFooter>
  </headerFooter>
  <drawing r:id="rId3"/>
  <legacyDrawing r:id="rId2"/>
</worksheet>
</file>

<file path=xl/worksheets/sheet25.xml><?xml version="1.0" encoding="utf-8"?>
<worksheet xmlns="http://schemas.openxmlformats.org/spreadsheetml/2006/main" xmlns:r="http://schemas.openxmlformats.org/officeDocument/2006/relationships">
  <sheetPr codeName="Sheet8">
    <pageSetUpPr fitToPage="1"/>
  </sheetPr>
  <dimension ref="A2:AZ210"/>
  <sheetViews>
    <sheetView showGridLines="0" showRowColHeaders="0" zoomScale="80" zoomScaleNormal="80" zoomScalePageLayoutView="0" workbookViewId="0" topLeftCell="A1">
      <selection activeCell="F4" sqref="F4"/>
    </sheetView>
  </sheetViews>
  <sheetFormatPr defaultColWidth="9.140625" defaultRowHeight="12.75"/>
  <cols>
    <col min="1" max="1" width="16.28125" style="0" customWidth="1"/>
    <col min="2" max="2" width="11.7109375" style="0" customWidth="1"/>
    <col min="3" max="3" width="11.28125" style="0" customWidth="1"/>
    <col min="4" max="6" width="11.7109375" style="0" bestFit="1" customWidth="1"/>
    <col min="7" max="7" width="11.140625" style="0" customWidth="1"/>
    <col min="8" max="8" width="11.140625" style="0" bestFit="1" customWidth="1"/>
    <col min="9" max="9" width="10.57421875" style="0" bestFit="1" customWidth="1"/>
    <col min="10" max="10" width="15.00390625" style="0" customWidth="1"/>
    <col min="11" max="11" width="11.140625" style="0" bestFit="1" customWidth="1"/>
    <col min="12" max="12" width="5.8515625" style="0" customWidth="1"/>
    <col min="13" max="13" width="1.57421875" style="0" customWidth="1"/>
    <col min="14" max="14" width="15.28125" style="0" customWidth="1"/>
    <col min="15" max="15" width="18.140625" style="50" customWidth="1"/>
    <col min="16" max="16" width="13.28125" style="0" customWidth="1"/>
    <col min="17" max="41" width="11.140625" style="0" bestFit="1" customWidth="1"/>
    <col min="42" max="52" width="11.00390625" style="0" bestFit="1" customWidth="1"/>
  </cols>
  <sheetData>
    <row r="2" spans="1:15" ht="12.75">
      <c r="A2" s="35"/>
      <c r="B2" s="35" t="s">
        <v>432</v>
      </c>
      <c r="C2" s="35"/>
      <c r="D2" s="35"/>
      <c r="E2" s="35"/>
      <c r="F2" s="35"/>
      <c r="G2" s="35"/>
      <c r="H2" s="35"/>
      <c r="I2" s="35"/>
      <c r="J2" s="35"/>
      <c r="K2" s="35"/>
      <c r="L2" s="35"/>
      <c r="M2" s="35"/>
      <c r="N2" s="35"/>
      <c r="O2" s="33"/>
    </row>
    <row r="3" spans="1:15" ht="12.75">
      <c r="A3" s="350" t="str">
        <f>MainForm!B3</f>
        <v>Date:</v>
      </c>
      <c r="B3" s="351"/>
      <c r="C3" s="35"/>
      <c r="D3" s="35"/>
      <c r="E3" s="35"/>
      <c r="F3" s="35"/>
      <c r="G3" s="35"/>
      <c r="H3" s="35"/>
      <c r="I3" s="35"/>
      <c r="J3" s="35"/>
      <c r="K3" s="35"/>
      <c r="L3" s="35"/>
      <c r="M3" s="35"/>
      <c r="N3" s="35"/>
      <c r="O3" s="33"/>
    </row>
    <row r="4" spans="1:15" ht="12.75">
      <c r="A4" s="350" t="str">
        <f>MainForm!B4</f>
        <v>Site Name:</v>
      </c>
      <c r="B4" s="352"/>
      <c r="C4" s="35"/>
      <c r="D4" s="35"/>
      <c r="E4" s="35"/>
      <c r="F4" s="35"/>
      <c r="G4" s="35"/>
      <c r="H4" s="35"/>
      <c r="I4" s="35"/>
      <c r="J4" s="35"/>
      <c r="K4" s="35"/>
      <c r="L4" s="35"/>
      <c r="M4" s="35"/>
      <c r="N4" s="35"/>
      <c r="O4" s="33"/>
    </row>
    <row r="5" spans="1:15" ht="12.75">
      <c r="A5" s="350" t="str">
        <f>MainForm!B5</f>
        <v>Sample Name:</v>
      </c>
      <c r="B5" s="352"/>
      <c r="C5" s="35"/>
      <c r="D5" s="35"/>
      <c r="E5" s="35"/>
      <c r="F5" s="35"/>
      <c r="G5" s="35"/>
      <c r="H5" s="35"/>
      <c r="I5" s="35"/>
      <c r="J5" s="35"/>
      <c r="K5" s="35"/>
      <c r="L5" s="35"/>
      <c r="M5" s="35"/>
      <c r="N5" s="35"/>
      <c r="O5" s="33"/>
    </row>
    <row r="6" spans="1:15" ht="13.5" thickBot="1">
      <c r="A6" s="35"/>
      <c r="B6" s="35"/>
      <c r="C6" s="35"/>
      <c r="D6" s="35"/>
      <c r="E6" s="35"/>
      <c r="F6" s="35"/>
      <c r="G6" s="35"/>
      <c r="H6" s="35"/>
      <c r="I6" s="35"/>
      <c r="J6" s="35"/>
      <c r="K6" s="35"/>
      <c r="L6" s="35"/>
      <c r="M6" s="35"/>
      <c r="N6" s="35"/>
      <c r="O6" s="33"/>
    </row>
    <row r="7" spans="1:17" ht="15">
      <c r="A7" s="353" t="s">
        <v>348</v>
      </c>
      <c r="B7" s="354"/>
      <c r="C7" s="355" t="s">
        <v>349</v>
      </c>
      <c r="D7" s="356"/>
      <c r="E7" s="35"/>
      <c r="F7" s="35"/>
      <c r="G7" s="35"/>
      <c r="L7" s="35"/>
      <c r="M7" s="328"/>
      <c r="N7" s="35"/>
      <c r="O7" s="33"/>
      <c r="P7" s="1"/>
      <c r="Q7" s="1"/>
    </row>
    <row r="8" spans="1:17" ht="18">
      <c r="A8" s="357" t="s">
        <v>439</v>
      </c>
      <c r="B8" s="358"/>
      <c r="C8" s="359" t="s">
        <v>441</v>
      </c>
      <c r="D8" s="360"/>
      <c r="E8" s="35"/>
      <c r="F8" s="35"/>
      <c r="G8" s="35"/>
      <c r="L8" s="35"/>
      <c r="M8" s="35"/>
      <c r="N8" s="26"/>
      <c r="O8" s="361"/>
      <c r="P8" s="1"/>
      <c r="Q8" s="1"/>
    </row>
    <row r="9" spans="1:17" ht="27.75" customHeight="1" thickBot="1">
      <c r="A9" s="362" t="s">
        <v>440</v>
      </c>
      <c r="B9" s="363"/>
      <c r="C9" s="364" t="s">
        <v>442</v>
      </c>
      <c r="D9" s="365"/>
      <c r="E9" s="35"/>
      <c r="F9" s="35"/>
      <c r="G9" s="35"/>
      <c r="L9" s="35"/>
      <c r="M9" s="35"/>
      <c r="N9" s="366"/>
      <c r="O9" s="367"/>
      <c r="P9" s="334"/>
      <c r="Q9" s="1"/>
    </row>
    <row r="10" spans="1:17" ht="25.5" customHeight="1" thickBot="1">
      <c r="A10" s="35"/>
      <c r="B10" s="401" t="s">
        <v>621</v>
      </c>
      <c r="C10" s="35"/>
      <c r="D10" s="35"/>
      <c r="E10" s="35"/>
      <c r="F10" s="35"/>
      <c r="G10" s="35"/>
      <c r="H10" s="35"/>
      <c r="I10" s="35"/>
      <c r="J10" s="35"/>
      <c r="K10" s="35"/>
      <c r="L10" s="35"/>
      <c r="M10" s="35"/>
      <c r="N10" s="368"/>
      <c r="O10" s="361"/>
      <c r="P10" s="1"/>
      <c r="Q10" s="1"/>
    </row>
    <row r="11" spans="1:17" ht="12.75">
      <c r="A11" s="35"/>
      <c r="B11" s="35"/>
      <c r="C11" s="35"/>
      <c r="D11" s="35"/>
      <c r="E11" s="35"/>
      <c r="F11" s="35"/>
      <c r="G11" s="35"/>
      <c r="H11" s="35"/>
      <c r="I11" s="35"/>
      <c r="J11" s="35"/>
      <c r="K11" s="35"/>
      <c r="L11" s="35"/>
      <c r="M11" s="35"/>
      <c r="N11" s="1079"/>
      <c r="O11" s="1080"/>
      <c r="P11" s="340"/>
      <c r="Q11" s="1"/>
    </row>
    <row r="12" spans="1:17" ht="13.5" thickBot="1">
      <c r="A12" s="35"/>
      <c r="B12" s="35"/>
      <c r="C12" s="35"/>
      <c r="D12" s="35"/>
      <c r="E12" s="35"/>
      <c r="F12" s="35"/>
      <c r="G12" s="35"/>
      <c r="H12" s="35"/>
      <c r="I12" s="35"/>
      <c r="J12" s="35"/>
      <c r="K12" s="35"/>
      <c r="L12" s="35"/>
      <c r="M12" s="35"/>
      <c r="N12" s="1081"/>
      <c r="O12" s="1082"/>
      <c r="P12" s="340"/>
      <c r="Q12" s="1"/>
    </row>
    <row r="13" spans="1:17" ht="13.5" thickBot="1">
      <c r="A13" s="35"/>
      <c r="B13" s="35"/>
      <c r="C13" s="35"/>
      <c r="D13" s="35"/>
      <c r="E13" s="35"/>
      <c r="F13" s="35"/>
      <c r="G13" s="35"/>
      <c r="H13" s="35"/>
      <c r="I13" s="35"/>
      <c r="J13" s="35"/>
      <c r="K13" s="35"/>
      <c r="L13" s="35"/>
      <c r="M13" s="35"/>
      <c r="N13" s="1402"/>
      <c r="O13" s="1403"/>
      <c r="P13" s="340"/>
      <c r="Q13" s="1"/>
    </row>
    <row r="14" spans="1:17" ht="12.75">
      <c r="A14" s="35"/>
      <c r="B14" s="35"/>
      <c r="C14" s="35"/>
      <c r="D14" s="35"/>
      <c r="E14" s="35"/>
      <c r="F14" s="35"/>
      <c r="G14" s="35"/>
      <c r="H14" s="35"/>
      <c r="I14" s="35"/>
      <c r="J14" s="35"/>
      <c r="K14" s="35"/>
      <c r="L14" s="35"/>
      <c r="M14" s="35"/>
      <c r="N14" s="1404"/>
      <c r="O14" s="1405"/>
      <c r="P14" s="340"/>
      <c r="Q14" s="1"/>
    </row>
    <row r="15" spans="1:17" ht="12.75">
      <c r="A15" s="35"/>
      <c r="B15" s="35"/>
      <c r="C15" s="35"/>
      <c r="D15" s="35"/>
      <c r="E15" s="35"/>
      <c r="F15" s="35"/>
      <c r="G15" s="35"/>
      <c r="H15" s="35"/>
      <c r="I15" s="35"/>
      <c r="J15" s="35"/>
      <c r="K15" s="35"/>
      <c r="L15" s="35"/>
      <c r="M15" s="35"/>
      <c r="N15" s="1404"/>
      <c r="O15" s="1405"/>
      <c r="P15" s="340"/>
      <c r="Q15" s="1"/>
    </row>
    <row r="16" spans="1:17" ht="12.75">
      <c r="A16" s="35"/>
      <c r="B16" s="35"/>
      <c r="C16" s="35"/>
      <c r="D16" s="35"/>
      <c r="E16" s="35"/>
      <c r="F16" s="35"/>
      <c r="G16" s="35"/>
      <c r="H16" s="35"/>
      <c r="I16" s="35"/>
      <c r="J16" s="35"/>
      <c r="K16" s="35"/>
      <c r="L16" s="35"/>
      <c r="M16" s="35"/>
      <c r="N16" s="1404"/>
      <c r="O16" s="1405"/>
      <c r="P16" s="340"/>
      <c r="Q16" s="1"/>
    </row>
    <row r="17" spans="1:17" ht="12.75">
      <c r="A17" s="35"/>
      <c r="B17" s="35"/>
      <c r="C17" s="35"/>
      <c r="D17" s="35"/>
      <c r="E17" s="35"/>
      <c r="F17" s="35"/>
      <c r="G17" s="35"/>
      <c r="H17" s="35"/>
      <c r="I17" s="35"/>
      <c r="J17" s="35"/>
      <c r="K17" s="35"/>
      <c r="L17" s="35"/>
      <c r="M17" s="35"/>
      <c r="N17" s="1404"/>
      <c r="O17" s="1405"/>
      <c r="P17" s="340"/>
      <c r="Q17" s="1"/>
    </row>
    <row r="18" spans="1:17" ht="12.75">
      <c r="A18" s="35"/>
      <c r="B18" s="35"/>
      <c r="C18" s="35"/>
      <c r="D18" s="35"/>
      <c r="E18" s="35"/>
      <c r="F18" s="35"/>
      <c r="G18" s="35"/>
      <c r="H18" s="35"/>
      <c r="I18" s="35"/>
      <c r="J18" s="35"/>
      <c r="K18" s="35"/>
      <c r="L18" s="35"/>
      <c r="M18" s="35"/>
      <c r="N18" s="1404"/>
      <c r="O18" s="1405"/>
      <c r="P18" s="340"/>
      <c r="Q18" s="1"/>
    </row>
    <row r="19" spans="1:17" ht="12.75">
      <c r="A19" s="35"/>
      <c r="B19" s="35"/>
      <c r="C19" s="35"/>
      <c r="D19" s="35"/>
      <c r="E19" s="35"/>
      <c r="F19" s="35"/>
      <c r="G19" s="35"/>
      <c r="H19" s="35"/>
      <c r="I19" s="35"/>
      <c r="J19" s="35"/>
      <c r="K19" s="35"/>
      <c r="L19" s="35"/>
      <c r="M19" s="35"/>
      <c r="N19" s="1404"/>
      <c r="O19" s="1405"/>
      <c r="P19" s="340"/>
      <c r="Q19" s="1"/>
    </row>
    <row r="20" spans="1:17" ht="12.75">
      <c r="A20" s="35"/>
      <c r="B20" s="35"/>
      <c r="C20" s="35"/>
      <c r="D20" s="35"/>
      <c r="E20" s="35"/>
      <c r="F20" s="35"/>
      <c r="G20" s="35"/>
      <c r="H20" s="35"/>
      <c r="I20" s="35"/>
      <c r="J20" s="35"/>
      <c r="K20" s="35"/>
      <c r="L20" s="35"/>
      <c r="M20" s="35"/>
      <c r="N20" s="1404"/>
      <c r="O20" s="1405"/>
      <c r="P20" s="340"/>
      <c r="Q20" s="1"/>
    </row>
    <row r="21" spans="1:17" ht="12.75">
      <c r="A21" s="35"/>
      <c r="B21" s="35"/>
      <c r="C21" s="35"/>
      <c r="D21" s="35"/>
      <c r="E21" s="35"/>
      <c r="F21" s="35"/>
      <c r="G21" s="35"/>
      <c r="H21" s="35"/>
      <c r="I21" s="35"/>
      <c r="J21" s="35"/>
      <c r="K21" s="35"/>
      <c r="L21" s="35"/>
      <c r="M21" s="35"/>
      <c r="N21" s="1404"/>
      <c r="O21" s="1405"/>
      <c r="P21" s="340"/>
      <c r="Q21" s="1"/>
    </row>
    <row r="22" spans="1:17" ht="12.75">
      <c r="A22" s="35"/>
      <c r="B22" s="35"/>
      <c r="C22" s="35"/>
      <c r="D22" s="35"/>
      <c r="E22" s="35"/>
      <c r="F22" s="35"/>
      <c r="G22" s="35"/>
      <c r="H22" s="35"/>
      <c r="I22" s="35"/>
      <c r="J22" s="35"/>
      <c r="K22" s="35"/>
      <c r="L22" s="35"/>
      <c r="M22" s="35"/>
      <c r="N22" s="1404"/>
      <c r="O22" s="1405"/>
      <c r="P22" s="340"/>
      <c r="Q22" s="1"/>
    </row>
    <row r="23" spans="1:17" ht="12.75">
      <c r="A23" s="35"/>
      <c r="B23" s="35"/>
      <c r="C23" s="35"/>
      <c r="D23" s="35"/>
      <c r="E23" s="35"/>
      <c r="F23" s="35"/>
      <c r="G23" s="35"/>
      <c r="H23" s="35"/>
      <c r="I23" s="35"/>
      <c r="J23" s="35"/>
      <c r="K23" s="35"/>
      <c r="L23" s="35"/>
      <c r="M23" s="35"/>
      <c r="N23" s="1404"/>
      <c r="O23" s="1405"/>
      <c r="P23" s="340"/>
      <c r="Q23" s="1"/>
    </row>
    <row r="24" spans="1:17" ht="12.75">
      <c r="A24" s="35"/>
      <c r="B24" s="35"/>
      <c r="C24" s="35"/>
      <c r="D24" s="35"/>
      <c r="E24" s="35"/>
      <c r="F24" s="35"/>
      <c r="G24" s="35"/>
      <c r="H24" s="35"/>
      <c r="I24" s="35"/>
      <c r="J24" s="35"/>
      <c r="K24" s="35"/>
      <c r="L24" s="35"/>
      <c r="M24" s="35"/>
      <c r="N24" s="1404"/>
      <c r="O24" s="1405"/>
      <c r="P24" s="340"/>
      <c r="Q24" s="1"/>
    </row>
    <row r="25" spans="1:17" ht="12.75">
      <c r="A25" s="35"/>
      <c r="B25" s="35"/>
      <c r="C25" s="35"/>
      <c r="D25" s="35"/>
      <c r="E25" s="35"/>
      <c r="F25" s="35"/>
      <c r="G25" s="35"/>
      <c r="H25" s="35"/>
      <c r="I25" s="35"/>
      <c r="J25" s="35"/>
      <c r="K25" s="35"/>
      <c r="L25" s="35"/>
      <c r="M25" s="35"/>
      <c r="N25" s="1404"/>
      <c r="O25" s="1405"/>
      <c r="P25" s="340"/>
      <c r="Q25" s="1"/>
    </row>
    <row r="26" spans="1:17" ht="12.75">
      <c r="A26" s="35"/>
      <c r="B26" s="35"/>
      <c r="C26" s="35"/>
      <c r="D26" s="35"/>
      <c r="E26" s="35"/>
      <c r="F26" s="35"/>
      <c r="G26" s="35"/>
      <c r="H26" s="35"/>
      <c r="I26" s="35"/>
      <c r="J26" s="35"/>
      <c r="K26" s="35"/>
      <c r="L26" s="35"/>
      <c r="M26" s="35"/>
      <c r="N26" s="1404"/>
      <c r="O26" s="1405"/>
      <c r="P26" s="340"/>
      <c r="Q26" s="1"/>
    </row>
    <row r="27" spans="1:17" ht="12.75">
      <c r="A27" s="35"/>
      <c r="B27" s="35"/>
      <c r="C27" s="35"/>
      <c r="D27" s="35"/>
      <c r="E27" s="35"/>
      <c r="F27" s="35"/>
      <c r="G27" s="35"/>
      <c r="H27" s="35"/>
      <c r="I27" s="35"/>
      <c r="J27" s="35"/>
      <c r="K27" s="35"/>
      <c r="L27" s="35"/>
      <c r="M27" s="35"/>
      <c r="N27" s="1404"/>
      <c r="O27" s="1405"/>
      <c r="P27" s="340"/>
      <c r="Q27" s="1"/>
    </row>
    <row r="28" spans="1:17" ht="12.75">
      <c r="A28" s="35"/>
      <c r="B28" s="35"/>
      <c r="C28" s="35"/>
      <c r="D28" s="35"/>
      <c r="E28" s="35"/>
      <c r="F28" s="35"/>
      <c r="G28" s="35"/>
      <c r="H28" s="35"/>
      <c r="I28" s="35"/>
      <c r="J28" s="35"/>
      <c r="K28" s="35"/>
      <c r="L28" s="35"/>
      <c r="M28" s="35"/>
      <c r="N28" s="1404"/>
      <c r="O28" s="1405"/>
      <c r="P28" s="340"/>
      <c r="Q28" s="1"/>
    </row>
    <row r="29" spans="1:17" ht="12.75">
      <c r="A29" s="35"/>
      <c r="B29" s="35"/>
      <c r="C29" s="35"/>
      <c r="D29" s="35"/>
      <c r="E29" s="35"/>
      <c r="F29" s="35"/>
      <c r="G29" s="35"/>
      <c r="H29" s="35"/>
      <c r="I29" s="35"/>
      <c r="J29" s="35"/>
      <c r="K29" s="35"/>
      <c r="L29" s="35"/>
      <c r="M29" s="35"/>
      <c r="N29" s="1404"/>
      <c r="O29" s="1405"/>
      <c r="P29" s="340"/>
      <c r="Q29" s="1"/>
    </row>
    <row r="30" spans="1:17" ht="12.75">
      <c r="A30" s="35"/>
      <c r="B30" s="35"/>
      <c r="C30" s="35"/>
      <c r="D30" s="35"/>
      <c r="E30" s="35"/>
      <c r="F30" s="35"/>
      <c r="G30" s="35"/>
      <c r="H30" s="35"/>
      <c r="I30" s="35"/>
      <c r="J30" s="35"/>
      <c r="K30" s="35"/>
      <c r="L30" s="35"/>
      <c r="M30" s="35"/>
      <c r="N30" s="1404"/>
      <c r="O30" s="1405"/>
      <c r="P30" s="340"/>
      <c r="Q30" s="1"/>
    </row>
    <row r="31" spans="1:17" ht="12.75">
      <c r="A31" s="35"/>
      <c r="B31" s="35"/>
      <c r="C31" s="35"/>
      <c r="D31" s="35"/>
      <c r="E31" s="35"/>
      <c r="F31" s="35"/>
      <c r="G31" s="35"/>
      <c r="H31" s="35"/>
      <c r="I31" s="35"/>
      <c r="J31" s="35"/>
      <c r="K31" s="35"/>
      <c r="L31" s="35"/>
      <c r="M31" s="35"/>
      <c r="N31" s="1404"/>
      <c r="O31" s="1405"/>
      <c r="P31" s="340"/>
      <c r="Q31" s="1"/>
    </row>
    <row r="32" spans="1:17" ht="12.75">
      <c r="A32" s="35"/>
      <c r="B32" s="35"/>
      <c r="C32" s="35"/>
      <c r="D32" s="35"/>
      <c r="E32" s="35"/>
      <c r="F32" s="35"/>
      <c r="G32" s="35"/>
      <c r="H32" s="35"/>
      <c r="I32" s="35"/>
      <c r="J32" s="35"/>
      <c r="K32" s="35"/>
      <c r="L32" s="35"/>
      <c r="M32" s="35"/>
      <c r="N32" s="1404"/>
      <c r="O32" s="1405"/>
      <c r="P32" s="340"/>
      <c r="Q32" s="1"/>
    </row>
    <row r="33" spans="1:17" ht="12.75">
      <c r="A33" s="35"/>
      <c r="B33" s="35"/>
      <c r="C33" s="35"/>
      <c r="D33" s="35"/>
      <c r="E33" s="35"/>
      <c r="F33" s="35"/>
      <c r="G33" s="35"/>
      <c r="H33" s="35"/>
      <c r="I33" s="35"/>
      <c r="J33" s="35"/>
      <c r="K33" s="35"/>
      <c r="L33" s="35"/>
      <c r="M33" s="35"/>
      <c r="N33" s="1404"/>
      <c r="O33" s="1405"/>
      <c r="P33" s="340"/>
      <c r="Q33" s="1"/>
    </row>
    <row r="34" spans="1:17" ht="12.75">
      <c r="A34" s="35"/>
      <c r="B34" s="35"/>
      <c r="C34" s="35"/>
      <c r="D34" s="35"/>
      <c r="E34" s="35"/>
      <c r="F34" s="35"/>
      <c r="G34" s="35"/>
      <c r="H34" s="35"/>
      <c r="I34" s="35"/>
      <c r="J34" s="35"/>
      <c r="K34" s="35"/>
      <c r="L34" s="35"/>
      <c r="M34" s="35"/>
      <c r="N34" s="1404"/>
      <c r="O34" s="1405"/>
      <c r="P34" s="340"/>
      <c r="Q34" s="1"/>
    </row>
    <row r="35" spans="1:17" ht="12.75">
      <c r="A35" s="35"/>
      <c r="B35" s="35"/>
      <c r="C35" s="35"/>
      <c r="D35" s="35"/>
      <c r="E35" s="35"/>
      <c r="F35" s="35"/>
      <c r="G35" s="35"/>
      <c r="H35" s="35"/>
      <c r="I35" s="35"/>
      <c r="J35" s="35"/>
      <c r="K35" s="35"/>
      <c r="L35" s="35"/>
      <c r="M35" s="35"/>
      <c r="N35" s="1404"/>
      <c r="O35" s="1405"/>
      <c r="P35" s="340"/>
      <c r="Q35" s="1"/>
    </row>
    <row r="36" spans="1:17" ht="12.75">
      <c r="A36" s="35"/>
      <c r="B36" s="35"/>
      <c r="C36" s="35"/>
      <c r="D36" s="35"/>
      <c r="E36" s="35"/>
      <c r="F36" s="35"/>
      <c r="G36" s="35"/>
      <c r="H36" s="35"/>
      <c r="I36" s="35"/>
      <c r="J36" s="35"/>
      <c r="K36" s="35"/>
      <c r="L36" s="35"/>
      <c r="M36" s="35"/>
      <c r="N36" s="1404"/>
      <c r="O36" s="1405"/>
      <c r="P36" s="340"/>
      <c r="Q36" s="1"/>
    </row>
    <row r="37" spans="1:17" ht="12.75">
      <c r="A37" s="35"/>
      <c r="B37" s="35"/>
      <c r="C37" s="35"/>
      <c r="D37" s="35"/>
      <c r="E37" s="35"/>
      <c r="F37" s="35"/>
      <c r="G37" s="35"/>
      <c r="H37" s="35"/>
      <c r="I37" s="35"/>
      <c r="J37" s="35"/>
      <c r="K37" s="35"/>
      <c r="L37" s="35"/>
      <c r="M37" s="35"/>
      <c r="N37" s="1404"/>
      <c r="O37" s="1405"/>
      <c r="P37" s="340"/>
      <c r="Q37" s="1"/>
    </row>
    <row r="38" spans="1:17" ht="12.75">
      <c r="A38" s="35"/>
      <c r="B38" s="35"/>
      <c r="C38" s="35"/>
      <c r="D38" s="35"/>
      <c r="E38" s="35"/>
      <c r="F38" s="35"/>
      <c r="G38" s="35"/>
      <c r="H38" s="35"/>
      <c r="I38" s="35"/>
      <c r="J38" s="35"/>
      <c r="K38" s="35"/>
      <c r="L38" s="35"/>
      <c r="M38" s="35"/>
      <c r="N38" s="1404"/>
      <c r="O38" s="1405"/>
      <c r="P38" s="340"/>
      <c r="Q38" s="1"/>
    </row>
    <row r="39" spans="1:17" ht="12.75">
      <c r="A39" s="35"/>
      <c r="B39" s="35"/>
      <c r="C39" s="35"/>
      <c r="D39" s="35"/>
      <c r="E39" s="35"/>
      <c r="F39" s="35"/>
      <c r="G39" s="35"/>
      <c r="H39" s="35"/>
      <c r="I39" s="35"/>
      <c r="J39" s="35"/>
      <c r="K39" s="35"/>
      <c r="L39" s="35"/>
      <c r="M39" s="35"/>
      <c r="N39" s="1404"/>
      <c r="O39" s="1405"/>
      <c r="P39" s="336"/>
      <c r="Q39" s="1"/>
    </row>
    <row r="40" spans="1:17" ht="12.75">
      <c r="A40" s="35"/>
      <c r="B40" s="35"/>
      <c r="C40" s="35"/>
      <c r="D40" s="35"/>
      <c r="E40" s="35"/>
      <c r="F40" s="35"/>
      <c r="G40" s="35"/>
      <c r="H40" s="35"/>
      <c r="I40" s="35"/>
      <c r="J40" s="35"/>
      <c r="K40" s="35"/>
      <c r="L40" s="35"/>
      <c r="M40" s="35"/>
      <c r="N40" s="1404"/>
      <c r="O40" s="1405"/>
      <c r="P40" s="1"/>
      <c r="Q40" s="1"/>
    </row>
    <row r="41" spans="1:17" ht="12.75">
      <c r="A41" s="35"/>
      <c r="B41" s="35"/>
      <c r="C41" s="35"/>
      <c r="D41" s="35"/>
      <c r="E41" s="35"/>
      <c r="F41" s="35"/>
      <c r="G41" s="35"/>
      <c r="H41" s="35"/>
      <c r="I41" s="35"/>
      <c r="J41" s="35"/>
      <c r="K41" s="35"/>
      <c r="L41" s="35"/>
      <c r="M41" s="35"/>
      <c r="N41" s="1404"/>
      <c r="O41" s="1405"/>
      <c r="P41" s="1"/>
      <c r="Q41" s="1"/>
    </row>
    <row r="42" spans="1:15" ht="12.75">
      <c r="A42" s="35"/>
      <c r="B42" s="35"/>
      <c r="C42" s="35"/>
      <c r="D42" s="35"/>
      <c r="E42" s="35"/>
      <c r="F42" s="35"/>
      <c r="G42" s="35"/>
      <c r="H42" s="35"/>
      <c r="I42" s="35"/>
      <c r="J42" s="35"/>
      <c r="K42" s="35"/>
      <c r="L42" s="35"/>
      <c r="M42" s="35"/>
      <c r="N42" s="1404"/>
      <c r="O42" s="1405"/>
    </row>
    <row r="43" spans="1:15" ht="13.5" thickBot="1">
      <c r="A43" s="35"/>
      <c r="B43" s="35"/>
      <c r="C43" s="35"/>
      <c r="D43" s="35"/>
      <c r="E43" s="35"/>
      <c r="F43" s="35"/>
      <c r="G43" s="35"/>
      <c r="H43" s="35"/>
      <c r="I43" s="35"/>
      <c r="J43" s="35"/>
      <c r="K43" s="35"/>
      <c r="L43" s="35"/>
      <c r="M43" s="35"/>
      <c r="N43" s="292"/>
      <c r="O43" s="34"/>
    </row>
    <row r="44" spans="1:15" ht="13.5" thickBot="1">
      <c r="A44" s="35"/>
      <c r="B44" s="35"/>
      <c r="C44" s="35"/>
      <c r="D44" s="35"/>
      <c r="E44" s="35"/>
      <c r="F44" s="35"/>
      <c r="G44" s="35"/>
      <c r="H44" s="35"/>
      <c r="I44" s="35"/>
      <c r="J44" s="35"/>
      <c r="K44" s="35"/>
      <c r="L44" s="35"/>
      <c r="M44" s="35"/>
      <c r="N44" s="369"/>
      <c r="O44" s="370"/>
    </row>
    <row r="45" spans="1:15" ht="12.75">
      <c r="A45" s="35"/>
      <c r="B45" s="35"/>
      <c r="C45" s="35"/>
      <c r="D45" s="35"/>
      <c r="E45" s="35"/>
      <c r="F45" s="35"/>
      <c r="G45" s="35"/>
      <c r="H45" s="35"/>
      <c r="I45" s="35"/>
      <c r="J45" s="35"/>
      <c r="K45" s="35"/>
      <c r="L45" s="35"/>
      <c r="M45" s="35"/>
      <c r="N45" s="35"/>
      <c r="O45" s="33"/>
    </row>
    <row r="46" spans="1:15" ht="12.75">
      <c r="A46" s="35"/>
      <c r="B46" s="35"/>
      <c r="C46" s="35"/>
      <c r="D46" s="35"/>
      <c r="E46" s="35"/>
      <c r="F46" s="35"/>
      <c r="G46" s="35"/>
      <c r="H46" s="35"/>
      <c r="I46" s="35"/>
      <c r="J46" s="35"/>
      <c r="K46" s="35"/>
      <c r="L46" s="35"/>
      <c r="M46" s="35"/>
      <c r="N46" s="35"/>
      <c r="O46" s="33"/>
    </row>
    <row r="47" spans="1:15" ht="12.75">
      <c r="A47" s="35"/>
      <c r="B47" s="35"/>
      <c r="C47" s="35"/>
      <c r="D47" s="35"/>
      <c r="E47" s="35"/>
      <c r="F47" s="35"/>
      <c r="G47" s="35"/>
      <c r="H47" s="35"/>
      <c r="I47" s="35"/>
      <c r="J47" s="35"/>
      <c r="K47" s="35"/>
      <c r="L47" s="35"/>
      <c r="M47" s="35"/>
      <c r="N47" s="35"/>
      <c r="O47" s="33"/>
    </row>
    <row r="48" spans="1:15" ht="12.75">
      <c r="A48" s="35"/>
      <c r="B48" s="35"/>
      <c r="C48" s="35"/>
      <c r="D48" s="35"/>
      <c r="E48" s="35"/>
      <c r="F48" s="35"/>
      <c r="G48" s="35"/>
      <c r="H48" s="35"/>
      <c r="I48" s="35"/>
      <c r="J48" s="35"/>
      <c r="K48" s="35"/>
      <c r="L48" s="35"/>
      <c r="M48" s="35"/>
      <c r="N48" s="35"/>
      <c r="O48" s="33"/>
    </row>
    <row r="49" spans="1:15" ht="12.75">
      <c r="A49" s="35"/>
      <c r="B49" s="35"/>
      <c r="C49" s="35"/>
      <c r="D49" s="35"/>
      <c r="E49" s="35"/>
      <c r="F49" s="35"/>
      <c r="G49" s="35"/>
      <c r="H49" s="35"/>
      <c r="I49" s="35"/>
      <c r="J49" s="35"/>
      <c r="K49" s="35"/>
      <c r="L49" s="35"/>
      <c r="M49" s="35"/>
      <c r="N49" s="35"/>
      <c r="O49" s="33"/>
    </row>
    <row r="50" spans="1:15" ht="12.75">
      <c r="A50" s="35"/>
      <c r="B50" s="35"/>
      <c r="C50" s="35"/>
      <c r="D50" s="35"/>
      <c r="E50" s="35"/>
      <c r="F50" s="35"/>
      <c r="G50" s="35"/>
      <c r="H50" s="35"/>
      <c r="I50" s="35"/>
      <c r="J50" s="35"/>
      <c r="K50" s="35"/>
      <c r="L50" s="35"/>
      <c r="M50" s="35"/>
      <c r="N50" s="35"/>
      <c r="O50" s="33"/>
    </row>
    <row r="51" spans="1:15" ht="12.75">
      <c r="A51" s="35"/>
      <c r="B51" s="35"/>
      <c r="C51" s="35"/>
      <c r="D51" s="35"/>
      <c r="E51" s="35"/>
      <c r="F51" s="35"/>
      <c r="G51" s="35"/>
      <c r="H51" s="35"/>
      <c r="I51" s="35"/>
      <c r="J51" s="35"/>
      <c r="K51" s="35"/>
      <c r="L51" s="35"/>
      <c r="M51" s="35"/>
      <c r="N51" s="35"/>
      <c r="O51" s="33"/>
    </row>
    <row r="52" spans="1:15" ht="12.75">
      <c r="A52" s="35"/>
      <c r="B52" s="35"/>
      <c r="C52" s="35"/>
      <c r="D52" s="35"/>
      <c r="E52" s="35"/>
      <c r="F52" s="35"/>
      <c r="G52" s="35"/>
      <c r="H52" s="35"/>
      <c r="I52" s="35"/>
      <c r="J52" s="35"/>
      <c r="K52" s="35"/>
      <c r="L52" s="35"/>
      <c r="M52" s="35"/>
      <c r="N52" s="35"/>
      <c r="O52" s="33"/>
    </row>
    <row r="53" spans="1:15" ht="12.75">
      <c r="A53" s="35"/>
      <c r="B53" s="35"/>
      <c r="C53" s="35"/>
      <c r="D53" s="35"/>
      <c r="E53" s="35"/>
      <c r="F53" s="35"/>
      <c r="G53" s="35"/>
      <c r="H53" s="35"/>
      <c r="I53" s="35"/>
      <c r="J53" s="35"/>
      <c r="K53" s="35"/>
      <c r="L53" s="35"/>
      <c r="M53" s="35"/>
      <c r="N53" s="35"/>
      <c r="O53" s="33"/>
    </row>
    <row r="54" spans="1:15" ht="12.75">
      <c r="A54" s="35"/>
      <c r="B54" s="35"/>
      <c r="C54" s="35"/>
      <c r="D54" s="35"/>
      <c r="E54" s="35"/>
      <c r="F54" s="35"/>
      <c r="G54" s="35"/>
      <c r="H54" s="35"/>
      <c r="I54" s="35"/>
      <c r="J54" s="35"/>
      <c r="K54" s="35"/>
      <c r="L54" s="35"/>
      <c r="M54" s="35"/>
      <c r="N54" s="35"/>
      <c r="O54" s="33"/>
    </row>
    <row r="55" spans="1:15" ht="12.75">
      <c r="A55" s="35"/>
      <c r="B55" s="35"/>
      <c r="C55" s="35"/>
      <c r="D55" s="35"/>
      <c r="E55" s="35"/>
      <c r="F55" s="35"/>
      <c r="G55" s="35"/>
      <c r="H55" s="35"/>
      <c r="I55" s="35"/>
      <c r="J55" s="35"/>
      <c r="K55" s="35"/>
      <c r="L55" s="35"/>
      <c r="M55" s="35"/>
      <c r="N55" s="35"/>
      <c r="O55" s="33"/>
    </row>
    <row r="56" spans="1:15" ht="12.75">
      <c r="A56" s="35"/>
      <c r="B56" s="35"/>
      <c r="C56" s="35"/>
      <c r="D56" s="35"/>
      <c r="E56" s="35"/>
      <c r="F56" s="35"/>
      <c r="G56" s="35"/>
      <c r="H56" s="35"/>
      <c r="I56" s="35"/>
      <c r="J56" s="35"/>
      <c r="K56" s="35"/>
      <c r="L56" s="35"/>
      <c r="M56" s="35"/>
      <c r="N56" s="35"/>
      <c r="O56" s="33"/>
    </row>
    <row r="57" spans="1:15" ht="12.75">
      <c r="A57" s="35"/>
      <c r="B57" s="35"/>
      <c r="C57" s="35"/>
      <c r="D57" s="35"/>
      <c r="E57" s="35"/>
      <c r="F57" s="35"/>
      <c r="G57" s="35"/>
      <c r="H57" s="35"/>
      <c r="I57" s="35"/>
      <c r="J57" s="35"/>
      <c r="K57" s="35"/>
      <c r="L57" s="35"/>
      <c r="M57" s="35"/>
      <c r="N57" s="35"/>
      <c r="O57" s="33"/>
    </row>
    <row r="58" spans="1:15" ht="12.75">
      <c r="A58" s="35"/>
      <c r="B58" s="35"/>
      <c r="C58" s="35"/>
      <c r="D58" s="35"/>
      <c r="E58" s="35"/>
      <c r="F58" s="35"/>
      <c r="G58" s="35"/>
      <c r="H58" s="35"/>
      <c r="I58" s="35"/>
      <c r="J58" s="35"/>
      <c r="K58" s="35"/>
      <c r="L58" s="35"/>
      <c r="M58" s="35"/>
      <c r="N58" s="35"/>
      <c r="O58" s="33"/>
    </row>
    <row r="59" spans="1:15" ht="12.75">
      <c r="A59" s="35"/>
      <c r="B59" s="35"/>
      <c r="C59" s="35"/>
      <c r="D59" s="35"/>
      <c r="E59" s="35"/>
      <c r="F59" s="35"/>
      <c r="G59" s="35"/>
      <c r="H59" s="35"/>
      <c r="I59" s="35"/>
      <c r="J59" s="35"/>
      <c r="K59" s="35"/>
      <c r="L59" s="35"/>
      <c r="M59" s="35"/>
      <c r="N59" s="35"/>
      <c r="O59" s="33"/>
    </row>
    <row r="60" spans="1:15" ht="12.75">
      <c r="A60" s="35"/>
      <c r="B60" s="35"/>
      <c r="C60" s="35"/>
      <c r="D60" s="35"/>
      <c r="E60" s="35"/>
      <c r="F60" s="35"/>
      <c r="G60" s="35"/>
      <c r="H60" s="35"/>
      <c r="I60" s="35"/>
      <c r="J60" s="35"/>
      <c r="K60" s="35"/>
      <c r="L60" s="35"/>
      <c r="M60" s="35"/>
      <c r="N60" s="35"/>
      <c r="O60" s="33"/>
    </row>
    <row r="61" spans="1:15" ht="12.75">
      <c r="A61" s="35"/>
      <c r="B61" s="35"/>
      <c r="C61" s="35"/>
      <c r="D61" s="35"/>
      <c r="E61" s="35"/>
      <c r="F61" s="35"/>
      <c r="G61" s="35"/>
      <c r="H61" s="35"/>
      <c r="I61" s="35"/>
      <c r="J61" s="35"/>
      <c r="K61" s="35"/>
      <c r="L61" s="35"/>
      <c r="M61" s="35"/>
      <c r="N61" s="35"/>
      <c r="O61" s="33"/>
    </row>
    <row r="62" spans="1:15" ht="12.75">
      <c r="A62" s="35"/>
      <c r="B62" s="35"/>
      <c r="C62" s="35"/>
      <c r="D62" s="35"/>
      <c r="E62" s="35"/>
      <c r="F62" s="35"/>
      <c r="G62" s="35"/>
      <c r="H62" s="35"/>
      <c r="I62" s="35"/>
      <c r="J62" s="35"/>
      <c r="K62" s="35"/>
      <c r="L62" s="35"/>
      <c r="M62" s="35"/>
      <c r="N62" s="35"/>
      <c r="O62" s="33"/>
    </row>
    <row r="63" spans="1:15" ht="12.75">
      <c r="A63" s="35"/>
      <c r="B63" s="35"/>
      <c r="C63" s="35"/>
      <c r="D63" s="35"/>
      <c r="E63" s="35"/>
      <c r="F63" s="35"/>
      <c r="G63" s="35"/>
      <c r="H63" s="35"/>
      <c r="I63" s="35"/>
      <c r="J63" s="35"/>
      <c r="K63" s="35"/>
      <c r="L63" s="35"/>
      <c r="M63" s="35"/>
      <c r="N63" s="35"/>
      <c r="O63" s="33"/>
    </row>
    <row r="64" spans="1:15" ht="12.75">
      <c r="A64" s="35"/>
      <c r="B64" s="35"/>
      <c r="C64" s="35"/>
      <c r="D64" s="35"/>
      <c r="E64" s="35"/>
      <c r="F64" s="35"/>
      <c r="G64" s="35"/>
      <c r="H64" s="35"/>
      <c r="I64" s="35"/>
      <c r="J64" s="35"/>
      <c r="K64" s="35"/>
      <c r="L64" s="35"/>
      <c r="M64" s="35"/>
      <c r="N64" s="35"/>
      <c r="O64" s="33"/>
    </row>
    <row r="65" spans="1:15" ht="12.75">
      <c r="A65" s="35"/>
      <c r="B65" s="35"/>
      <c r="C65" s="35"/>
      <c r="D65" s="35"/>
      <c r="E65" s="35"/>
      <c r="F65" s="35"/>
      <c r="G65" s="35"/>
      <c r="H65" s="35"/>
      <c r="I65" s="35"/>
      <c r="J65" s="35"/>
      <c r="K65" s="35"/>
      <c r="L65" s="35"/>
      <c r="M65" s="35"/>
      <c r="N65" s="35"/>
      <c r="O65" s="33"/>
    </row>
    <row r="66" spans="1:15" ht="12.75">
      <c r="A66" s="35"/>
      <c r="B66" s="35"/>
      <c r="C66" s="35"/>
      <c r="D66" s="35"/>
      <c r="E66" s="35"/>
      <c r="F66" s="35"/>
      <c r="G66" s="35"/>
      <c r="H66" s="35"/>
      <c r="I66" s="35"/>
      <c r="J66" s="35"/>
      <c r="K66" s="35"/>
      <c r="L66" s="35"/>
      <c r="M66" s="35"/>
      <c r="N66" s="35"/>
      <c r="O66" s="33"/>
    </row>
    <row r="67" spans="1:15" ht="12.75">
      <c r="A67" s="35"/>
      <c r="B67" s="35"/>
      <c r="C67" s="35"/>
      <c r="D67" s="35"/>
      <c r="E67" s="35"/>
      <c r="F67" s="35"/>
      <c r="G67" s="35"/>
      <c r="H67" s="35"/>
      <c r="I67" s="35"/>
      <c r="J67" s="35"/>
      <c r="K67" s="35"/>
      <c r="L67" s="35"/>
      <c r="M67" s="35"/>
      <c r="N67" s="35"/>
      <c r="O67" s="33"/>
    </row>
    <row r="68" spans="1:15" ht="12.75">
      <c r="A68" s="35"/>
      <c r="B68" s="35"/>
      <c r="C68" s="35"/>
      <c r="D68" s="35"/>
      <c r="E68" s="35"/>
      <c r="F68" s="35"/>
      <c r="G68" s="35"/>
      <c r="H68" s="35"/>
      <c r="I68" s="35"/>
      <c r="J68" s="35"/>
      <c r="K68" s="35"/>
      <c r="L68" s="35"/>
      <c r="M68" s="35"/>
      <c r="N68" s="35"/>
      <c r="O68" s="33"/>
    </row>
    <row r="69" spans="1:15" ht="12.75">
      <c r="A69" s="35"/>
      <c r="B69" s="35"/>
      <c r="C69" s="35"/>
      <c r="D69" s="35"/>
      <c r="E69" s="35"/>
      <c r="F69" s="35"/>
      <c r="G69" s="35"/>
      <c r="H69" s="35"/>
      <c r="I69" s="35"/>
      <c r="J69" s="35"/>
      <c r="K69" s="35"/>
      <c r="L69" s="35"/>
      <c r="M69" s="35"/>
      <c r="N69" s="35"/>
      <c r="O69" s="33"/>
    </row>
    <row r="70" spans="1:15" ht="12.75">
      <c r="A70" s="35"/>
      <c r="B70" s="35"/>
      <c r="C70" s="35"/>
      <c r="D70" s="35"/>
      <c r="E70" s="35"/>
      <c r="F70" s="35"/>
      <c r="G70" s="35"/>
      <c r="H70" s="35"/>
      <c r="I70" s="35"/>
      <c r="J70" s="35"/>
      <c r="K70" s="35"/>
      <c r="L70" s="35"/>
      <c r="M70" s="35"/>
      <c r="N70" s="35"/>
      <c r="O70" s="33"/>
    </row>
    <row r="71" spans="1:15" ht="12.75">
      <c r="A71" s="35"/>
      <c r="B71" s="35"/>
      <c r="C71" s="35"/>
      <c r="D71" s="35"/>
      <c r="E71" s="35"/>
      <c r="F71" s="35"/>
      <c r="G71" s="35"/>
      <c r="H71" s="35"/>
      <c r="I71" s="35"/>
      <c r="J71" s="35"/>
      <c r="K71" s="35"/>
      <c r="L71" s="35"/>
      <c r="M71" s="35"/>
      <c r="N71" s="35"/>
      <c r="O71" s="33"/>
    </row>
    <row r="72" spans="1:15" ht="12.75">
      <c r="A72" s="35"/>
      <c r="B72" s="35"/>
      <c r="C72" s="35"/>
      <c r="D72" s="35"/>
      <c r="E72" s="35"/>
      <c r="F72" s="35"/>
      <c r="G72" s="35"/>
      <c r="H72" s="35"/>
      <c r="I72" s="35"/>
      <c r="J72" s="35"/>
      <c r="K72" s="35"/>
      <c r="L72" s="35"/>
      <c r="M72" s="35"/>
      <c r="N72" s="35"/>
      <c r="O72" s="33"/>
    </row>
    <row r="73" spans="1:15" ht="12.75">
      <c r="A73" s="35"/>
      <c r="B73" s="35"/>
      <c r="C73" s="35"/>
      <c r="D73" s="35"/>
      <c r="E73" s="35"/>
      <c r="F73" s="35"/>
      <c r="G73" s="35"/>
      <c r="H73" s="35"/>
      <c r="I73" s="35"/>
      <c r="J73" s="35"/>
      <c r="K73" s="35"/>
      <c r="L73" s="35"/>
      <c r="M73" s="35"/>
      <c r="N73" s="35"/>
      <c r="O73" s="33"/>
    </row>
    <row r="74" spans="1:15" ht="12.75">
      <c r="A74" s="35"/>
      <c r="B74" s="35"/>
      <c r="C74" s="35"/>
      <c r="D74" s="35"/>
      <c r="E74" s="35"/>
      <c r="F74" s="35"/>
      <c r="G74" s="35"/>
      <c r="H74" s="35"/>
      <c r="I74" s="35"/>
      <c r="J74" s="35"/>
      <c r="K74" s="35"/>
      <c r="L74" s="35"/>
      <c r="M74" s="35"/>
      <c r="N74" s="35"/>
      <c r="O74" s="33"/>
    </row>
    <row r="75" spans="1:15" ht="12.75">
      <c r="A75" s="35"/>
      <c r="B75" s="35"/>
      <c r="C75" s="35"/>
      <c r="D75" s="35"/>
      <c r="E75" s="35"/>
      <c r="F75" s="35"/>
      <c r="G75" s="35"/>
      <c r="H75" s="35"/>
      <c r="I75" s="35"/>
      <c r="J75" s="35"/>
      <c r="K75" s="35"/>
      <c r="L75" s="35"/>
      <c r="M75" s="35"/>
      <c r="N75" s="35"/>
      <c r="O75" s="33"/>
    </row>
    <row r="76" spans="1:15" ht="12.75">
      <c r="A76" s="35"/>
      <c r="B76" s="35"/>
      <c r="C76" s="35"/>
      <c r="D76" s="35"/>
      <c r="E76" s="35"/>
      <c r="F76" s="35"/>
      <c r="G76" s="35"/>
      <c r="H76" s="35"/>
      <c r="I76" s="35"/>
      <c r="J76" s="35"/>
      <c r="K76" s="35"/>
      <c r="L76" s="35"/>
      <c r="M76" s="35"/>
      <c r="N76" s="35"/>
      <c r="O76" s="33"/>
    </row>
    <row r="77" spans="1:15" ht="12.75">
      <c r="A77" s="35"/>
      <c r="B77" s="35"/>
      <c r="C77" s="35"/>
      <c r="D77" s="35"/>
      <c r="E77" s="35"/>
      <c r="F77" s="35"/>
      <c r="G77" s="35"/>
      <c r="H77" s="35"/>
      <c r="I77" s="35"/>
      <c r="J77" s="35"/>
      <c r="K77" s="35"/>
      <c r="L77" s="35"/>
      <c r="M77" s="35"/>
      <c r="N77" s="35"/>
      <c r="O77" s="33"/>
    </row>
    <row r="78" spans="1:15" ht="12.75">
      <c r="A78" s="35"/>
      <c r="B78" s="35"/>
      <c r="C78" s="35"/>
      <c r="D78" s="35"/>
      <c r="E78" s="35"/>
      <c r="F78" s="35"/>
      <c r="G78" s="35"/>
      <c r="H78" s="35"/>
      <c r="I78" s="35"/>
      <c r="J78" s="35"/>
      <c r="K78" s="35"/>
      <c r="L78" s="35"/>
      <c r="M78" s="35"/>
      <c r="N78" s="35"/>
      <c r="O78" s="33"/>
    </row>
    <row r="79" spans="1:15" ht="12.75">
      <c r="A79" s="35"/>
      <c r="B79" s="35"/>
      <c r="C79" s="35"/>
      <c r="D79" s="35"/>
      <c r="E79" s="35"/>
      <c r="F79" s="35"/>
      <c r="G79" s="35"/>
      <c r="H79" s="35"/>
      <c r="I79" s="35"/>
      <c r="J79" s="35"/>
      <c r="K79" s="35"/>
      <c r="L79" s="35"/>
      <c r="M79" s="35"/>
      <c r="N79" s="35"/>
      <c r="O79" s="33"/>
    </row>
    <row r="80" spans="1:15" ht="12.75">
      <c r="A80" s="35"/>
      <c r="B80" s="35"/>
      <c r="C80" s="35"/>
      <c r="D80" s="35"/>
      <c r="E80" s="35"/>
      <c r="F80" s="35"/>
      <c r="G80" s="35"/>
      <c r="H80" s="35"/>
      <c r="I80" s="35"/>
      <c r="J80" s="35"/>
      <c r="K80" s="35"/>
      <c r="L80" s="35"/>
      <c r="M80" s="35"/>
      <c r="N80" s="35"/>
      <c r="O80" s="33"/>
    </row>
    <row r="81" spans="1:15" ht="12.75">
      <c r="A81" s="35"/>
      <c r="B81" s="35"/>
      <c r="C81" s="35"/>
      <c r="D81" s="35"/>
      <c r="E81" s="35"/>
      <c r="F81" s="35"/>
      <c r="G81" s="35"/>
      <c r="H81" s="35"/>
      <c r="I81" s="35"/>
      <c r="J81" s="35"/>
      <c r="K81" s="35"/>
      <c r="L81" s="35"/>
      <c r="M81" s="35"/>
      <c r="N81" s="35"/>
      <c r="O81" s="33"/>
    </row>
    <row r="82" spans="1:15" ht="12.75">
      <c r="A82" s="35"/>
      <c r="B82" s="35"/>
      <c r="C82" s="35"/>
      <c r="D82" s="35"/>
      <c r="E82" s="35"/>
      <c r="F82" s="35"/>
      <c r="G82" s="35"/>
      <c r="H82" s="35"/>
      <c r="I82" s="35"/>
      <c r="J82" s="35"/>
      <c r="K82" s="35"/>
      <c r="L82" s="35"/>
      <c r="M82" s="35"/>
      <c r="N82" s="35"/>
      <c r="O82" s="33"/>
    </row>
    <row r="83" spans="1:15" ht="12.75">
      <c r="A83" s="35"/>
      <c r="B83" s="35"/>
      <c r="C83" s="35"/>
      <c r="D83" s="35"/>
      <c r="E83" s="35"/>
      <c r="F83" s="35"/>
      <c r="G83" s="35"/>
      <c r="H83" s="35"/>
      <c r="I83" s="35"/>
      <c r="J83" s="35"/>
      <c r="K83" s="35"/>
      <c r="L83" s="35"/>
      <c r="M83" s="35"/>
      <c r="N83" s="35"/>
      <c r="O83" s="33"/>
    </row>
    <row r="84" spans="1:15" ht="12.75">
      <c r="A84" s="35"/>
      <c r="B84" s="35"/>
      <c r="C84" s="35"/>
      <c r="D84" s="35"/>
      <c r="E84" s="35"/>
      <c r="F84" s="35"/>
      <c r="G84" s="35"/>
      <c r="H84" s="35"/>
      <c r="I84" s="35"/>
      <c r="J84" s="35"/>
      <c r="K84" s="35"/>
      <c r="L84" s="35"/>
      <c r="M84" s="35"/>
      <c r="N84" s="35"/>
      <c r="O84" s="33"/>
    </row>
    <row r="85" spans="1:15" ht="12.75">
      <c r="A85" s="35"/>
      <c r="B85" s="35"/>
      <c r="C85" s="35"/>
      <c r="D85" s="35"/>
      <c r="E85" s="35"/>
      <c r="F85" s="35"/>
      <c r="G85" s="35"/>
      <c r="H85" s="35"/>
      <c r="I85" s="35"/>
      <c r="J85" s="35"/>
      <c r="K85" s="35"/>
      <c r="L85" s="35"/>
      <c r="M85" s="35"/>
      <c r="N85" s="35"/>
      <c r="O85" s="33"/>
    </row>
    <row r="86" spans="1:15" ht="12.75">
      <c r="A86" s="35"/>
      <c r="B86" s="35"/>
      <c r="C86" s="35"/>
      <c r="D86" s="35"/>
      <c r="E86" s="35"/>
      <c r="F86" s="35"/>
      <c r="G86" s="35"/>
      <c r="H86" s="35"/>
      <c r="I86" s="35"/>
      <c r="J86" s="35"/>
      <c r="K86" s="35"/>
      <c r="L86" s="35"/>
      <c r="M86" s="35"/>
      <c r="N86" s="35"/>
      <c r="O86" s="33"/>
    </row>
    <row r="87" spans="1:15" ht="12.75">
      <c r="A87" s="35"/>
      <c r="B87" s="35"/>
      <c r="C87" s="35"/>
      <c r="D87" s="35"/>
      <c r="E87" s="35"/>
      <c r="F87" s="35"/>
      <c r="G87" s="35"/>
      <c r="H87" s="35"/>
      <c r="I87" s="35"/>
      <c r="J87" s="35"/>
      <c r="K87" s="35"/>
      <c r="L87" s="35"/>
      <c r="M87" s="35"/>
      <c r="N87" s="35"/>
      <c r="O87" s="33"/>
    </row>
    <row r="88" spans="1:15" ht="12.75">
      <c r="A88" s="35"/>
      <c r="B88" s="35"/>
      <c r="C88" s="35"/>
      <c r="D88" s="35"/>
      <c r="E88" s="35"/>
      <c r="F88" s="35"/>
      <c r="G88" s="35"/>
      <c r="H88" s="35"/>
      <c r="I88" s="35"/>
      <c r="J88" s="35"/>
      <c r="K88" s="35"/>
      <c r="L88" s="35"/>
      <c r="M88" s="35"/>
      <c r="N88" s="35"/>
      <c r="O88" s="33"/>
    </row>
    <row r="89" spans="1:15" ht="12.75">
      <c r="A89" s="35"/>
      <c r="B89" s="35"/>
      <c r="C89" s="35"/>
      <c r="D89" s="35"/>
      <c r="E89" s="35"/>
      <c r="F89" s="35"/>
      <c r="G89" s="35"/>
      <c r="H89" s="35"/>
      <c r="I89" s="35"/>
      <c r="J89" s="35"/>
      <c r="K89" s="35"/>
      <c r="L89" s="35"/>
      <c r="M89" s="35"/>
      <c r="N89" s="35"/>
      <c r="O89" s="33"/>
    </row>
    <row r="90" spans="1:15" ht="12.75">
      <c r="A90" s="35"/>
      <c r="B90" s="35"/>
      <c r="C90" s="35"/>
      <c r="D90" s="35"/>
      <c r="E90" s="35"/>
      <c r="F90" s="35"/>
      <c r="G90" s="35"/>
      <c r="H90" s="35"/>
      <c r="I90" s="35"/>
      <c r="J90" s="35"/>
      <c r="K90" s="35"/>
      <c r="L90" s="35"/>
      <c r="M90" s="35"/>
      <c r="N90" s="35"/>
      <c r="O90" s="33"/>
    </row>
    <row r="91" spans="1:15" ht="12.75">
      <c r="A91" s="35"/>
      <c r="B91" s="35"/>
      <c r="C91" s="35"/>
      <c r="D91" s="35"/>
      <c r="E91" s="35"/>
      <c r="F91" s="35"/>
      <c r="G91" s="35"/>
      <c r="H91" s="35"/>
      <c r="I91" s="35"/>
      <c r="J91" s="35"/>
      <c r="K91" s="35"/>
      <c r="L91" s="35"/>
      <c r="M91" s="35"/>
      <c r="N91" s="35"/>
      <c r="O91" s="33"/>
    </row>
    <row r="92" spans="1:15" ht="12.75">
      <c r="A92" s="35"/>
      <c r="B92" s="35"/>
      <c r="C92" s="35"/>
      <c r="D92" s="35"/>
      <c r="E92" s="35"/>
      <c r="F92" s="35"/>
      <c r="G92" s="35"/>
      <c r="H92" s="35"/>
      <c r="I92" s="35"/>
      <c r="J92" s="35"/>
      <c r="K92" s="35"/>
      <c r="L92" s="35"/>
      <c r="M92" s="35"/>
      <c r="N92" s="35"/>
      <c r="O92" s="33"/>
    </row>
    <row r="93" spans="1:15" ht="12.75">
      <c r="A93" s="35"/>
      <c r="B93" s="35"/>
      <c r="C93" s="35"/>
      <c r="D93" s="35"/>
      <c r="E93" s="35"/>
      <c r="F93" s="35"/>
      <c r="G93" s="35"/>
      <c r="H93" s="35"/>
      <c r="I93" s="35"/>
      <c r="J93" s="35"/>
      <c r="K93" s="35"/>
      <c r="L93" s="35"/>
      <c r="M93" s="35"/>
      <c r="N93" s="35"/>
      <c r="O93" s="33"/>
    </row>
    <row r="94" spans="1:15" ht="12.75">
      <c r="A94" s="35"/>
      <c r="B94" s="35"/>
      <c r="C94" s="35"/>
      <c r="D94" s="35"/>
      <c r="E94" s="35"/>
      <c r="F94" s="35"/>
      <c r="G94" s="35"/>
      <c r="H94" s="35"/>
      <c r="I94" s="35"/>
      <c r="J94" s="35"/>
      <c r="K94" s="35"/>
      <c r="L94" s="35"/>
      <c r="M94" s="35"/>
      <c r="N94" s="35"/>
      <c r="O94" s="33"/>
    </row>
    <row r="95" spans="1:15" ht="12.75">
      <c r="A95" s="35"/>
      <c r="B95" s="35"/>
      <c r="C95" s="35"/>
      <c r="D95" s="35"/>
      <c r="E95" s="35"/>
      <c r="F95" s="35"/>
      <c r="G95" s="35"/>
      <c r="H95" s="35"/>
      <c r="I95" s="35"/>
      <c r="J95" s="35"/>
      <c r="K95" s="35"/>
      <c r="L95" s="35"/>
      <c r="M95" s="35"/>
      <c r="N95" s="35"/>
      <c r="O95" s="33"/>
    </row>
    <row r="96" spans="1:15" ht="12.75">
      <c r="A96" s="35"/>
      <c r="B96" s="35"/>
      <c r="C96" s="35"/>
      <c r="D96" s="35"/>
      <c r="E96" s="35"/>
      <c r="F96" s="35"/>
      <c r="G96" s="35"/>
      <c r="H96" s="35"/>
      <c r="I96" s="35"/>
      <c r="J96" s="35"/>
      <c r="K96" s="35"/>
      <c r="L96" s="35"/>
      <c r="M96" s="35"/>
      <c r="N96" s="35"/>
      <c r="O96" s="33"/>
    </row>
    <row r="97" spans="1:15" ht="12.75">
      <c r="A97" s="35"/>
      <c r="B97" s="35"/>
      <c r="C97" s="35"/>
      <c r="D97" s="35"/>
      <c r="E97" s="35"/>
      <c r="F97" s="35"/>
      <c r="G97" s="35"/>
      <c r="H97" s="35"/>
      <c r="I97" s="35"/>
      <c r="J97" s="35"/>
      <c r="K97" s="35"/>
      <c r="L97" s="35"/>
      <c r="M97" s="35"/>
      <c r="N97" s="35"/>
      <c r="O97" s="33"/>
    </row>
    <row r="98" spans="1:15" ht="12.75">
      <c r="A98" s="35"/>
      <c r="B98" s="35"/>
      <c r="C98" s="35"/>
      <c r="D98" s="35"/>
      <c r="E98" s="35"/>
      <c r="F98" s="35"/>
      <c r="G98" s="35"/>
      <c r="H98" s="35"/>
      <c r="I98" s="35"/>
      <c r="J98" s="35"/>
      <c r="K98" s="35"/>
      <c r="L98" s="35"/>
      <c r="M98" s="35"/>
      <c r="N98" s="35"/>
      <c r="O98" s="33"/>
    </row>
    <row r="99" spans="1:15" ht="12.75">
      <c r="A99" s="35"/>
      <c r="B99" s="35"/>
      <c r="C99" s="35"/>
      <c r="D99" s="35"/>
      <c r="E99" s="35"/>
      <c r="F99" s="35"/>
      <c r="G99" s="35"/>
      <c r="H99" s="35"/>
      <c r="I99" s="35"/>
      <c r="J99" s="35"/>
      <c r="K99" s="35"/>
      <c r="L99" s="35"/>
      <c r="M99" s="35"/>
      <c r="N99" s="35"/>
      <c r="O99" s="33"/>
    </row>
    <row r="100" spans="1:15" ht="12.75">
      <c r="A100" s="35"/>
      <c r="B100" s="35"/>
      <c r="C100" s="35"/>
      <c r="D100" s="35"/>
      <c r="E100" s="35"/>
      <c r="F100" s="35"/>
      <c r="G100" s="35"/>
      <c r="H100" s="35"/>
      <c r="I100" s="35"/>
      <c r="J100" s="35"/>
      <c r="K100" s="35"/>
      <c r="L100" s="35"/>
      <c r="M100" s="35"/>
      <c r="N100" s="35"/>
      <c r="O100" s="33"/>
    </row>
    <row r="101" spans="1:15" ht="12.75">
      <c r="A101" s="35"/>
      <c r="B101" s="35"/>
      <c r="C101" s="35"/>
      <c r="D101" s="35"/>
      <c r="E101" s="35"/>
      <c r="F101" s="35"/>
      <c r="G101" s="35"/>
      <c r="H101" s="35"/>
      <c r="I101" s="35"/>
      <c r="J101" s="35"/>
      <c r="K101" s="35"/>
      <c r="L101" s="35"/>
      <c r="M101" s="35"/>
      <c r="N101" s="35"/>
      <c r="O101" s="33"/>
    </row>
    <row r="102" spans="1:15" ht="12.75">
      <c r="A102" s="35"/>
      <c r="B102" s="35"/>
      <c r="C102" s="35"/>
      <c r="D102" s="35"/>
      <c r="E102" s="35"/>
      <c r="F102" s="35"/>
      <c r="G102" s="35"/>
      <c r="H102" s="35"/>
      <c r="I102" s="35"/>
      <c r="J102" s="35"/>
      <c r="K102" s="35"/>
      <c r="L102" s="35"/>
      <c r="M102" s="35"/>
      <c r="N102" s="35"/>
      <c r="O102" s="33"/>
    </row>
    <row r="103" spans="1:15" ht="12.75">
      <c r="A103" s="35"/>
      <c r="B103" s="35"/>
      <c r="C103" s="35"/>
      <c r="D103" s="35"/>
      <c r="E103" s="35"/>
      <c r="F103" s="35"/>
      <c r="G103" s="35"/>
      <c r="H103" s="35"/>
      <c r="I103" s="35"/>
      <c r="J103" s="35"/>
      <c r="K103" s="35"/>
      <c r="L103" s="35"/>
      <c r="M103" s="35"/>
      <c r="N103" s="35"/>
      <c r="O103" s="33"/>
    </row>
    <row r="104" spans="1:15" ht="12.75">
      <c r="A104" s="35"/>
      <c r="B104" s="35"/>
      <c r="C104" s="35"/>
      <c r="D104" s="35"/>
      <c r="E104" s="35"/>
      <c r="F104" s="35"/>
      <c r="G104" s="35"/>
      <c r="H104" s="35"/>
      <c r="I104" s="35"/>
      <c r="J104" s="35"/>
      <c r="K104" s="35"/>
      <c r="L104" s="35"/>
      <c r="M104" s="35"/>
      <c r="N104" s="35"/>
      <c r="O104" s="33"/>
    </row>
    <row r="105" spans="1:15" ht="12.75">
      <c r="A105" s="35"/>
      <c r="B105" s="35"/>
      <c r="C105" s="35"/>
      <c r="D105" s="35"/>
      <c r="E105" s="35"/>
      <c r="F105" s="35"/>
      <c r="G105" s="35"/>
      <c r="H105" s="35"/>
      <c r="I105" s="35"/>
      <c r="J105" s="35"/>
      <c r="K105" s="35"/>
      <c r="L105" s="35"/>
      <c r="M105" s="35"/>
      <c r="N105" s="35"/>
      <c r="O105" s="33"/>
    </row>
    <row r="106" spans="1:15" ht="12.75">
      <c r="A106" s="35"/>
      <c r="B106" s="35"/>
      <c r="C106" s="35"/>
      <c r="D106" s="35"/>
      <c r="E106" s="35"/>
      <c r="F106" s="35"/>
      <c r="G106" s="35"/>
      <c r="H106" s="35"/>
      <c r="I106" s="35"/>
      <c r="J106" s="35"/>
      <c r="K106" s="35"/>
      <c r="L106" s="35"/>
      <c r="M106" s="35"/>
      <c r="N106" s="35"/>
      <c r="O106" s="33"/>
    </row>
    <row r="107" spans="1:15" ht="12.75">
      <c r="A107" s="35"/>
      <c r="B107" s="35"/>
      <c r="C107" s="35"/>
      <c r="D107" s="35"/>
      <c r="E107" s="35"/>
      <c r="F107" s="35"/>
      <c r="G107" s="35"/>
      <c r="H107" s="35"/>
      <c r="I107" s="35"/>
      <c r="J107" s="35"/>
      <c r="K107" s="35"/>
      <c r="L107" s="35"/>
      <c r="M107" s="35"/>
      <c r="N107" s="35"/>
      <c r="O107" s="33"/>
    </row>
    <row r="108" spans="1:15" ht="12.75">
      <c r="A108" s="35"/>
      <c r="B108" s="35"/>
      <c r="C108" s="35"/>
      <c r="D108" s="35"/>
      <c r="E108" s="35"/>
      <c r="F108" s="35"/>
      <c r="G108" s="35"/>
      <c r="H108" s="35"/>
      <c r="I108" s="35"/>
      <c r="J108" s="35"/>
      <c r="K108" s="35"/>
      <c r="L108" s="35"/>
      <c r="M108" s="35"/>
      <c r="N108" s="35"/>
      <c r="O108" s="33"/>
    </row>
    <row r="109" spans="1:15" ht="12.75">
      <c r="A109" s="35"/>
      <c r="B109" s="35"/>
      <c r="C109" s="35"/>
      <c r="D109" s="35"/>
      <c r="E109" s="35"/>
      <c r="F109" s="35"/>
      <c r="G109" s="35"/>
      <c r="H109" s="35"/>
      <c r="I109" s="35"/>
      <c r="J109" s="35"/>
      <c r="K109" s="35"/>
      <c r="L109" s="35"/>
      <c r="M109" s="35"/>
      <c r="N109" s="35"/>
      <c r="O109" s="33"/>
    </row>
    <row r="110" spans="1:15" ht="12.75">
      <c r="A110" s="35"/>
      <c r="B110" s="35"/>
      <c r="C110" s="35"/>
      <c r="D110" s="35"/>
      <c r="E110" s="35"/>
      <c r="F110" s="35"/>
      <c r="G110" s="35"/>
      <c r="H110" s="35"/>
      <c r="I110" s="35"/>
      <c r="J110" s="35"/>
      <c r="K110" s="35"/>
      <c r="L110" s="35"/>
      <c r="M110" s="35"/>
      <c r="N110" s="35"/>
      <c r="O110" s="33"/>
    </row>
    <row r="111" spans="1:15" ht="12.75">
      <c r="A111" s="35"/>
      <c r="B111" s="35"/>
      <c r="C111" s="35"/>
      <c r="D111" s="35"/>
      <c r="E111" s="35"/>
      <c r="F111" s="35"/>
      <c r="G111" s="35"/>
      <c r="H111" s="35"/>
      <c r="I111" s="35"/>
      <c r="J111" s="35"/>
      <c r="K111" s="35"/>
      <c r="L111" s="35"/>
      <c r="M111" s="35"/>
      <c r="N111" s="35"/>
      <c r="O111" s="33"/>
    </row>
    <row r="112" spans="1:15" ht="12.75">
      <c r="A112" s="35"/>
      <c r="B112" s="35"/>
      <c r="C112" s="35"/>
      <c r="D112" s="35"/>
      <c r="E112" s="35"/>
      <c r="F112" s="35"/>
      <c r="G112" s="35"/>
      <c r="H112" s="35"/>
      <c r="I112" s="35"/>
      <c r="J112" s="35"/>
      <c r="K112" s="35"/>
      <c r="L112" s="35"/>
      <c r="M112" s="35"/>
      <c r="N112" s="35"/>
      <c r="O112" s="33"/>
    </row>
    <row r="113" spans="1:15" ht="12.75">
      <c r="A113" s="35"/>
      <c r="B113" s="35"/>
      <c r="C113" s="35"/>
      <c r="D113" s="35"/>
      <c r="E113" s="35"/>
      <c r="F113" s="35"/>
      <c r="G113" s="35"/>
      <c r="H113" s="35"/>
      <c r="I113" s="35"/>
      <c r="J113" s="35"/>
      <c r="K113" s="35"/>
      <c r="L113" s="35"/>
      <c r="M113" s="35"/>
      <c r="N113" s="35"/>
      <c r="O113" s="33"/>
    </row>
    <row r="114" spans="1:15" ht="12.75">
      <c r="A114" s="35"/>
      <c r="B114" s="35"/>
      <c r="C114" s="35"/>
      <c r="D114" s="35"/>
      <c r="E114" s="35"/>
      <c r="F114" s="35"/>
      <c r="G114" s="35"/>
      <c r="H114" s="35"/>
      <c r="I114" s="35"/>
      <c r="J114" s="35"/>
      <c r="K114" s="35"/>
      <c r="L114" s="35"/>
      <c r="M114" s="35"/>
      <c r="N114" s="35"/>
      <c r="O114" s="33"/>
    </row>
    <row r="115" spans="1:15" ht="12.75">
      <c r="A115" s="35"/>
      <c r="B115" s="35"/>
      <c r="C115" s="35"/>
      <c r="D115" s="35"/>
      <c r="E115" s="35"/>
      <c r="F115" s="35"/>
      <c r="G115" s="35"/>
      <c r="H115" s="35"/>
      <c r="I115" s="35"/>
      <c r="J115" s="35"/>
      <c r="K115" s="35"/>
      <c r="L115" s="35"/>
      <c r="M115" s="35"/>
      <c r="N115" s="35"/>
      <c r="O115" s="33"/>
    </row>
    <row r="116" spans="1:15" ht="12.75">
      <c r="A116" s="35"/>
      <c r="B116" s="35"/>
      <c r="C116" s="35"/>
      <c r="D116" s="35"/>
      <c r="E116" s="35"/>
      <c r="F116" s="35"/>
      <c r="G116" s="35"/>
      <c r="H116" s="35"/>
      <c r="I116" s="35"/>
      <c r="J116" s="35"/>
      <c r="K116" s="35"/>
      <c r="L116" s="35"/>
      <c r="M116" s="35"/>
      <c r="N116" s="35"/>
      <c r="O116" s="33"/>
    </row>
    <row r="117" spans="1:15" ht="12.75">
      <c r="A117" s="35"/>
      <c r="B117" s="35"/>
      <c r="C117" s="35"/>
      <c r="D117" s="35"/>
      <c r="E117" s="35"/>
      <c r="F117" s="35"/>
      <c r="G117" s="35"/>
      <c r="H117" s="35"/>
      <c r="I117" s="35"/>
      <c r="J117" s="35"/>
      <c r="K117" s="35"/>
      <c r="L117" s="35"/>
      <c r="M117" s="35"/>
      <c r="N117" s="35"/>
      <c r="O117" s="33"/>
    </row>
    <row r="118" spans="1:15" ht="12.75">
      <c r="A118" s="35"/>
      <c r="B118" s="35"/>
      <c r="C118" s="35"/>
      <c r="D118" s="35"/>
      <c r="E118" s="35"/>
      <c r="F118" s="35"/>
      <c r="G118" s="35"/>
      <c r="H118" s="35"/>
      <c r="I118" s="35"/>
      <c r="J118" s="35"/>
      <c r="K118" s="35"/>
      <c r="L118" s="35"/>
      <c r="M118" s="35"/>
      <c r="N118" s="35"/>
      <c r="O118" s="33"/>
    </row>
    <row r="119" spans="1:15" ht="12.75">
      <c r="A119" s="35"/>
      <c r="B119" s="35"/>
      <c r="C119" s="35"/>
      <c r="D119" s="35"/>
      <c r="E119" s="35"/>
      <c r="F119" s="35"/>
      <c r="G119" s="35"/>
      <c r="H119" s="35"/>
      <c r="I119" s="35"/>
      <c r="J119" s="35"/>
      <c r="K119" s="35"/>
      <c r="L119" s="35"/>
      <c r="M119" s="35"/>
      <c r="N119" s="35"/>
      <c r="O119" s="33"/>
    </row>
    <row r="120" spans="1:15" ht="12.75">
      <c r="A120" s="35"/>
      <c r="B120" s="35"/>
      <c r="C120" s="35"/>
      <c r="D120" s="35"/>
      <c r="E120" s="35"/>
      <c r="F120" s="35"/>
      <c r="G120" s="35"/>
      <c r="H120" s="35"/>
      <c r="I120" s="35"/>
      <c r="J120" s="35"/>
      <c r="K120" s="35"/>
      <c r="L120" s="35"/>
      <c r="M120" s="35"/>
      <c r="N120" s="35"/>
      <c r="O120" s="33"/>
    </row>
    <row r="121" spans="1:15" ht="12.75">
      <c r="A121" s="35"/>
      <c r="B121" s="35"/>
      <c r="C121" s="35"/>
      <c r="D121" s="35"/>
      <c r="E121" s="35"/>
      <c r="F121" s="35"/>
      <c r="G121" s="35"/>
      <c r="H121" s="35"/>
      <c r="I121" s="35"/>
      <c r="J121" s="35"/>
      <c r="K121" s="35"/>
      <c r="L121" s="35"/>
      <c r="M121" s="35"/>
      <c r="N121" s="35"/>
      <c r="O121" s="33"/>
    </row>
    <row r="122" spans="1:15" ht="12.75">
      <c r="A122" s="35"/>
      <c r="B122" s="35"/>
      <c r="C122" s="35"/>
      <c r="D122" s="35"/>
      <c r="E122" s="35"/>
      <c r="F122" s="35"/>
      <c r="G122" s="35"/>
      <c r="H122" s="35"/>
      <c r="I122" s="35"/>
      <c r="J122" s="35"/>
      <c r="K122" s="35"/>
      <c r="L122" s="35"/>
      <c r="M122" s="35"/>
      <c r="N122" s="35"/>
      <c r="O122" s="33"/>
    </row>
    <row r="123" spans="1:15" ht="12.75">
      <c r="A123" s="35"/>
      <c r="B123" s="35"/>
      <c r="C123" s="35"/>
      <c r="D123" s="35"/>
      <c r="E123" s="35"/>
      <c r="F123" s="35"/>
      <c r="G123" s="35"/>
      <c r="H123" s="35"/>
      <c r="I123" s="35"/>
      <c r="J123" s="35"/>
      <c r="K123" s="35"/>
      <c r="L123" s="35"/>
      <c r="M123" s="35"/>
      <c r="N123" s="35"/>
      <c r="O123" s="33"/>
    </row>
    <row r="124" spans="1:15" ht="12.75">
      <c r="A124" s="35"/>
      <c r="B124" s="35"/>
      <c r="C124" s="35"/>
      <c r="D124" s="35"/>
      <c r="E124" s="35"/>
      <c r="F124" s="35"/>
      <c r="G124" s="35"/>
      <c r="H124" s="35"/>
      <c r="I124" s="35"/>
      <c r="J124" s="35"/>
      <c r="K124" s="35"/>
      <c r="L124" s="35"/>
      <c r="M124" s="35"/>
      <c r="N124" s="35"/>
      <c r="O124" s="33"/>
    </row>
    <row r="125" spans="1:15" ht="12.75">
      <c r="A125" s="35"/>
      <c r="B125" s="35"/>
      <c r="C125" s="35"/>
      <c r="D125" s="35"/>
      <c r="E125" s="35"/>
      <c r="F125" s="35"/>
      <c r="G125" s="35"/>
      <c r="H125" s="35"/>
      <c r="I125" s="35"/>
      <c r="J125" s="35"/>
      <c r="K125" s="35"/>
      <c r="L125" s="35"/>
      <c r="M125" s="35"/>
      <c r="N125" s="35"/>
      <c r="O125" s="33"/>
    </row>
    <row r="126" spans="1:15" ht="12.75">
      <c r="A126" s="35"/>
      <c r="B126" s="35"/>
      <c r="C126" s="35"/>
      <c r="D126" s="35"/>
      <c r="E126" s="35"/>
      <c r="F126" s="35"/>
      <c r="G126" s="35"/>
      <c r="H126" s="35"/>
      <c r="I126" s="35"/>
      <c r="J126" s="35"/>
      <c r="K126" s="35"/>
      <c r="L126" s="35"/>
      <c r="M126" s="35"/>
      <c r="N126" s="35"/>
      <c r="O126" s="33"/>
    </row>
    <row r="127" spans="1:15" ht="12.75">
      <c r="A127" s="35"/>
      <c r="B127" s="35"/>
      <c r="C127" s="35"/>
      <c r="D127" s="35"/>
      <c r="E127" s="35"/>
      <c r="F127" s="35"/>
      <c r="G127" s="35"/>
      <c r="H127" s="35"/>
      <c r="I127" s="35"/>
      <c r="J127" s="35"/>
      <c r="K127" s="35"/>
      <c r="L127" s="35"/>
      <c r="M127" s="35"/>
      <c r="N127" s="35"/>
      <c r="O127" s="33"/>
    </row>
    <row r="128" spans="1:15" ht="12.75">
      <c r="A128" s="35"/>
      <c r="B128" s="35"/>
      <c r="C128" s="35"/>
      <c r="D128" s="35"/>
      <c r="E128" s="35"/>
      <c r="F128" s="35"/>
      <c r="G128" s="35"/>
      <c r="H128" s="35"/>
      <c r="I128" s="35"/>
      <c r="J128" s="35"/>
      <c r="K128" s="35"/>
      <c r="L128" s="35"/>
      <c r="M128" s="35"/>
      <c r="N128" s="35"/>
      <c r="O128" s="33"/>
    </row>
    <row r="129" spans="1:15" ht="12.75">
      <c r="A129" s="35"/>
      <c r="B129" s="35"/>
      <c r="C129" s="35"/>
      <c r="D129" s="35"/>
      <c r="E129" s="35"/>
      <c r="F129" s="35"/>
      <c r="G129" s="35"/>
      <c r="H129" s="35"/>
      <c r="I129" s="35"/>
      <c r="J129" s="35"/>
      <c r="K129" s="35"/>
      <c r="L129" s="35"/>
      <c r="M129" s="35"/>
      <c r="N129" s="35"/>
      <c r="O129" s="33"/>
    </row>
    <row r="130" spans="1:15" ht="12.75">
      <c r="A130" s="35"/>
      <c r="B130" s="35"/>
      <c r="C130" s="35"/>
      <c r="D130" s="35"/>
      <c r="E130" s="35"/>
      <c r="F130" s="35"/>
      <c r="G130" s="35"/>
      <c r="H130" s="35"/>
      <c r="I130" s="35"/>
      <c r="J130" s="35"/>
      <c r="K130" s="35"/>
      <c r="L130" s="35"/>
      <c r="M130" s="35"/>
      <c r="N130" s="35"/>
      <c r="O130" s="33"/>
    </row>
    <row r="131" spans="1:15" ht="12.75">
      <c r="A131" s="35"/>
      <c r="B131" s="35"/>
      <c r="C131" s="35"/>
      <c r="D131" s="35"/>
      <c r="E131" s="35"/>
      <c r="F131" s="35"/>
      <c r="G131" s="35"/>
      <c r="H131" s="35"/>
      <c r="I131" s="35"/>
      <c r="J131" s="35"/>
      <c r="K131" s="35"/>
      <c r="L131" s="35"/>
      <c r="M131" s="35"/>
      <c r="N131" s="35"/>
      <c r="O131" s="33"/>
    </row>
    <row r="132" spans="1:15" ht="12.75">
      <c r="A132" s="35"/>
      <c r="B132" s="35"/>
      <c r="C132" s="35"/>
      <c r="D132" s="35"/>
      <c r="E132" s="35"/>
      <c r="F132" s="35"/>
      <c r="G132" s="35"/>
      <c r="H132" s="35"/>
      <c r="I132" s="35"/>
      <c r="J132" s="35"/>
      <c r="K132" s="35"/>
      <c r="L132" s="35"/>
      <c r="M132" s="35"/>
      <c r="N132" s="35"/>
      <c r="O132" s="33"/>
    </row>
    <row r="133" spans="1:15" ht="12.75">
      <c r="A133" s="35"/>
      <c r="B133" s="35"/>
      <c r="C133" s="35"/>
      <c r="D133" s="35"/>
      <c r="E133" s="35"/>
      <c r="F133" s="35"/>
      <c r="G133" s="35"/>
      <c r="H133" s="35"/>
      <c r="I133" s="35"/>
      <c r="J133" s="35"/>
      <c r="K133" s="35"/>
      <c r="L133" s="35"/>
      <c r="M133" s="35"/>
      <c r="N133" s="35"/>
      <c r="O133" s="33"/>
    </row>
    <row r="134" spans="1:15" ht="12.75">
      <c r="A134" s="35"/>
      <c r="B134" s="35"/>
      <c r="C134" s="35"/>
      <c r="D134" s="35"/>
      <c r="E134" s="35"/>
      <c r="F134" s="35"/>
      <c r="G134" s="35"/>
      <c r="H134" s="35"/>
      <c r="I134" s="35"/>
      <c r="J134" s="35"/>
      <c r="K134" s="35"/>
      <c r="L134" s="35"/>
      <c r="M134" s="35"/>
      <c r="N134" s="35"/>
      <c r="O134" s="33"/>
    </row>
    <row r="135" spans="1:15" ht="12.75">
      <c r="A135" s="35"/>
      <c r="B135" s="35"/>
      <c r="C135" s="35"/>
      <c r="D135" s="35"/>
      <c r="E135" s="35"/>
      <c r="F135" s="35"/>
      <c r="G135" s="35"/>
      <c r="H135" s="35"/>
      <c r="I135" s="35"/>
      <c r="J135" s="35"/>
      <c r="K135" s="35"/>
      <c r="L135" s="35"/>
      <c r="M135" s="35"/>
      <c r="N135" s="35"/>
      <c r="O135" s="33"/>
    </row>
    <row r="136" spans="1:15" ht="12.75">
      <c r="A136" s="35"/>
      <c r="B136" s="35"/>
      <c r="C136" s="35"/>
      <c r="D136" s="35"/>
      <c r="E136" s="35"/>
      <c r="F136" s="35"/>
      <c r="G136" s="35"/>
      <c r="H136" s="35"/>
      <c r="I136" s="35"/>
      <c r="J136" s="35"/>
      <c r="K136" s="35"/>
      <c r="L136" s="35"/>
      <c r="M136" s="35"/>
      <c r="N136" s="35"/>
      <c r="O136" s="33"/>
    </row>
    <row r="138" ht="12.75" hidden="1"/>
    <row r="139" ht="12.75" hidden="1"/>
    <row r="140" ht="12.75" hidden="1"/>
    <row r="141" ht="12.75" hidden="1"/>
    <row r="142" ht="12.75" hidden="1"/>
    <row r="143" spans="1:9" ht="12.75" hidden="1">
      <c r="A143" s="35" t="s">
        <v>119</v>
      </c>
      <c r="B143" s="35">
        <v>1</v>
      </c>
      <c r="C143" s="35"/>
      <c r="D143" s="35"/>
      <c r="E143" s="35"/>
      <c r="F143" s="35"/>
      <c r="G143" s="35" t="s">
        <v>330</v>
      </c>
      <c r="H143" s="35"/>
      <c r="I143" s="35"/>
    </row>
    <row r="144" spans="1:9" ht="12.75" hidden="1">
      <c r="A144" s="35" t="s">
        <v>120</v>
      </c>
      <c r="B144" s="35">
        <v>50000</v>
      </c>
      <c r="C144" s="35"/>
      <c r="D144" s="35"/>
      <c r="E144" s="35"/>
      <c r="F144" s="35"/>
      <c r="G144" s="35" t="s">
        <v>331</v>
      </c>
      <c r="H144" s="35"/>
      <c r="I144" s="35"/>
    </row>
    <row r="145" spans="1:9" ht="12.75" hidden="1">
      <c r="A145" s="35" t="s">
        <v>122</v>
      </c>
      <c r="B145" s="78">
        <v>50</v>
      </c>
      <c r="C145" s="35" t="s">
        <v>123</v>
      </c>
      <c r="D145" s="35"/>
      <c r="E145" s="35"/>
      <c r="F145" s="35"/>
      <c r="G145" s="35"/>
      <c r="H145" s="35"/>
      <c r="I145" s="35"/>
    </row>
    <row r="146" spans="1:9" ht="12.75" hidden="1">
      <c r="A146" s="35" t="s">
        <v>121</v>
      </c>
      <c r="B146" s="78">
        <f>EXP(LN(study_max/STUDY_min)/study_step)</f>
        <v>1.2415934136291775</v>
      </c>
      <c r="C146" s="79"/>
      <c r="D146" s="35"/>
      <c r="E146" s="35"/>
      <c r="F146" s="35"/>
      <c r="G146" s="35"/>
      <c r="H146" s="35"/>
      <c r="I146" s="35"/>
    </row>
    <row r="147" ht="12.75" hidden="1"/>
    <row r="148" ht="12.75" hidden="1"/>
    <row r="149" ht="12.75" hidden="1"/>
    <row r="150" ht="12.75" hidden="1"/>
    <row r="151" ht="12.75" hidden="1"/>
    <row r="152" ht="12.75" hidden="1"/>
    <row r="154" spans="1:52" ht="12.7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row>
    <row r="155" spans="1:52" ht="12.75">
      <c r="A155" s="35"/>
      <c r="B155" s="35"/>
      <c r="C155" s="35"/>
      <c r="D155" s="35"/>
      <c r="E155" s="332"/>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row>
    <row r="156" spans="1:52" s="35" customFormat="1" ht="13.5" thickBot="1">
      <c r="A156" s="333"/>
      <c r="B156" s="333"/>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c r="AT156" s="333"/>
      <c r="AU156" s="333"/>
      <c r="AV156" s="333"/>
      <c r="AW156" s="333"/>
      <c r="AX156" s="333"/>
      <c r="AY156" s="333"/>
      <c r="AZ156" s="333"/>
    </row>
    <row r="157" spans="1:52" s="1086" customFormat="1" ht="13.5" thickTop="1">
      <c r="A157" s="338" t="s">
        <v>160</v>
      </c>
      <c r="B157" s="339"/>
      <c r="C157" s="338"/>
      <c r="D157" s="338"/>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8"/>
      <c r="AY157" s="338"/>
      <c r="AZ157" s="338"/>
    </row>
    <row r="158" spans="1:52" s="1086" customFormat="1" ht="12.75">
      <c r="A158" s="338" t="s">
        <v>161</v>
      </c>
      <c r="B158" s="338"/>
      <c r="C158" s="338"/>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8"/>
      <c r="AY158" s="338"/>
      <c r="AZ158" s="338"/>
    </row>
    <row r="159" spans="1:52" s="1086" customFormat="1" ht="12.75">
      <c r="A159" s="338" t="s">
        <v>157</v>
      </c>
      <c r="B159" s="331"/>
      <c r="C159" s="331"/>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K159" s="331"/>
      <c r="AL159" s="331"/>
      <c r="AM159" s="331"/>
      <c r="AN159" s="331"/>
      <c r="AO159" s="331"/>
      <c r="AP159" s="331"/>
      <c r="AQ159" s="331"/>
      <c r="AR159" s="331"/>
      <c r="AS159" s="331"/>
      <c r="AT159" s="331"/>
      <c r="AU159" s="331"/>
      <c r="AV159" s="331"/>
      <c r="AW159" s="331"/>
      <c r="AX159" s="331"/>
      <c r="AY159" s="331"/>
      <c r="AZ159" s="331"/>
    </row>
    <row r="160" spans="1:52" s="1086" customFormat="1" ht="12.75">
      <c r="A160" s="338" t="s">
        <v>158</v>
      </c>
      <c r="B160" s="338"/>
      <c r="C160" s="338"/>
      <c r="D160" s="338"/>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c r="AN160" s="338"/>
      <c r="AO160" s="338"/>
      <c r="AP160" s="338"/>
      <c r="AQ160" s="338"/>
      <c r="AR160" s="338"/>
      <c r="AS160" s="338"/>
      <c r="AT160" s="338"/>
      <c r="AU160" s="338"/>
      <c r="AV160" s="338"/>
      <c r="AW160" s="338"/>
      <c r="AX160" s="338"/>
      <c r="AY160" s="338"/>
      <c r="AZ160" s="338"/>
    </row>
    <row r="161" spans="1:52" s="1086" customFormat="1" ht="12.75">
      <c r="A161" s="338" t="s">
        <v>159</v>
      </c>
      <c r="B161" s="338"/>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38"/>
      <c r="AY161" s="338"/>
      <c r="AZ161" s="338"/>
    </row>
    <row r="162" spans="1:52" s="1086" customFormat="1" ht="12.75">
      <c r="A162" s="338" t="s">
        <v>295</v>
      </c>
      <c r="B162" s="338"/>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c r="AD162" s="338"/>
      <c r="AE162" s="338"/>
      <c r="AF162" s="338"/>
      <c r="AG162" s="338"/>
      <c r="AH162" s="338"/>
      <c r="AI162" s="338"/>
      <c r="AJ162" s="338"/>
      <c r="AK162" s="338"/>
      <c r="AL162" s="338"/>
      <c r="AM162" s="338"/>
      <c r="AN162" s="338"/>
      <c r="AO162" s="338"/>
      <c r="AP162" s="338"/>
      <c r="AQ162" s="338"/>
      <c r="AR162" s="338"/>
      <c r="AS162" s="338"/>
      <c r="AT162" s="338"/>
      <c r="AU162" s="338"/>
      <c r="AV162" s="338"/>
      <c r="AW162" s="338"/>
      <c r="AX162" s="338"/>
      <c r="AY162" s="338"/>
      <c r="AZ162" s="338"/>
    </row>
    <row r="163" spans="1:52" s="1086" customFormat="1" ht="12.75">
      <c r="A163" s="338" t="s">
        <v>296</v>
      </c>
      <c r="B163" s="338"/>
      <c r="C163" s="338"/>
      <c r="D163" s="338"/>
      <c r="E163" s="338"/>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8"/>
      <c r="AI163" s="338"/>
      <c r="AJ163" s="338"/>
      <c r="AK163" s="338"/>
      <c r="AL163" s="338"/>
      <c r="AM163" s="338"/>
      <c r="AN163" s="338"/>
      <c r="AO163" s="338"/>
      <c r="AP163" s="338"/>
      <c r="AQ163" s="338"/>
      <c r="AR163" s="338"/>
      <c r="AS163" s="338"/>
      <c r="AT163" s="338"/>
      <c r="AU163" s="338"/>
      <c r="AV163" s="338"/>
      <c r="AW163" s="338"/>
      <c r="AX163" s="338"/>
      <c r="AY163" s="338"/>
      <c r="AZ163" s="338"/>
    </row>
    <row r="164" spans="1:52" s="1086" customFormat="1" ht="12.75">
      <c r="A164" s="338" t="s">
        <v>153</v>
      </c>
      <c r="B164" s="338"/>
      <c r="C164" s="338"/>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338"/>
      <c r="AM164" s="338"/>
      <c r="AN164" s="338"/>
      <c r="AO164" s="338"/>
      <c r="AP164" s="338"/>
      <c r="AQ164" s="338"/>
      <c r="AR164" s="338"/>
      <c r="AS164" s="338"/>
      <c r="AT164" s="338"/>
      <c r="AU164" s="338"/>
      <c r="AV164" s="338"/>
      <c r="AW164" s="338"/>
      <c r="AX164" s="338"/>
      <c r="AY164" s="338"/>
      <c r="AZ164" s="338"/>
    </row>
    <row r="165" spans="1:52" s="1086" customFormat="1" ht="12.75">
      <c r="A165" s="338" t="s">
        <v>154</v>
      </c>
      <c r="B165" s="338"/>
      <c r="C165" s="338"/>
      <c r="D165" s="338"/>
      <c r="E165" s="338"/>
      <c r="F165" s="338"/>
      <c r="G165" s="338"/>
      <c r="H165" s="338"/>
      <c r="I165" s="338"/>
      <c r="J165" s="338"/>
      <c r="K165" s="338"/>
      <c r="L165" s="338"/>
      <c r="M165" s="338"/>
      <c r="N165" s="338"/>
      <c r="O165" s="338"/>
      <c r="P165" s="338"/>
      <c r="Q165" s="338"/>
      <c r="R165" s="338"/>
      <c r="S165" s="338"/>
      <c r="T165" s="338"/>
      <c r="U165" s="338"/>
      <c r="V165" s="338"/>
      <c r="W165" s="338"/>
      <c r="X165" s="338"/>
      <c r="Y165" s="338"/>
      <c r="Z165" s="338"/>
      <c r="AA165" s="338"/>
      <c r="AB165" s="338"/>
      <c r="AC165" s="338"/>
      <c r="AD165" s="338"/>
      <c r="AE165" s="338"/>
      <c r="AF165" s="338"/>
      <c r="AG165" s="338"/>
      <c r="AH165" s="338"/>
      <c r="AI165" s="338"/>
      <c r="AJ165" s="338"/>
      <c r="AK165" s="338"/>
      <c r="AL165" s="338"/>
      <c r="AM165" s="338"/>
      <c r="AN165" s="338"/>
      <c r="AO165" s="338"/>
      <c r="AP165" s="338"/>
      <c r="AQ165" s="338"/>
      <c r="AR165" s="338"/>
      <c r="AS165" s="338"/>
      <c r="AT165" s="338"/>
      <c r="AU165" s="338"/>
      <c r="AV165" s="338"/>
      <c r="AW165" s="338"/>
      <c r="AX165" s="338"/>
      <c r="AY165" s="338"/>
      <c r="AZ165" s="338"/>
    </row>
    <row r="166" spans="1:52" s="1086" customFormat="1" ht="12.75">
      <c r="A166" s="338" t="s">
        <v>155</v>
      </c>
      <c r="B166" s="338"/>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c r="AG166" s="338"/>
      <c r="AH166" s="338"/>
      <c r="AI166" s="338"/>
      <c r="AJ166" s="338"/>
      <c r="AK166" s="338"/>
      <c r="AL166" s="338"/>
      <c r="AM166" s="338"/>
      <c r="AN166" s="338"/>
      <c r="AO166" s="338"/>
      <c r="AP166" s="338"/>
      <c r="AQ166" s="338"/>
      <c r="AR166" s="338"/>
      <c r="AS166" s="338"/>
      <c r="AT166" s="338"/>
      <c r="AU166" s="338"/>
      <c r="AV166" s="338"/>
      <c r="AW166" s="338"/>
      <c r="AX166" s="338"/>
      <c r="AY166" s="338"/>
      <c r="AZ166" s="338"/>
    </row>
    <row r="167" spans="1:52" s="1086" customFormat="1" ht="12.75">
      <c r="A167" s="338" t="s">
        <v>156</v>
      </c>
      <c r="B167" s="338"/>
      <c r="C167" s="338"/>
      <c r="D167" s="338"/>
      <c r="E167" s="338"/>
      <c r="F167" s="338"/>
      <c r="G167" s="338"/>
      <c r="H167" s="338"/>
      <c r="I167" s="338"/>
      <c r="J167" s="338"/>
      <c r="K167" s="338"/>
      <c r="L167" s="338"/>
      <c r="M167" s="338"/>
      <c r="N167" s="338"/>
      <c r="O167" s="338"/>
      <c r="P167" s="338"/>
      <c r="Q167" s="338"/>
      <c r="R167" s="338"/>
      <c r="S167" s="338"/>
      <c r="T167" s="338"/>
      <c r="U167" s="338"/>
      <c r="V167" s="338"/>
      <c r="W167" s="338"/>
      <c r="X167" s="338"/>
      <c r="Y167" s="338"/>
      <c r="Z167" s="338"/>
      <c r="AA167" s="338"/>
      <c r="AB167" s="338"/>
      <c r="AC167" s="338"/>
      <c r="AD167" s="338"/>
      <c r="AE167" s="338"/>
      <c r="AF167" s="338"/>
      <c r="AG167" s="338"/>
      <c r="AH167" s="338"/>
      <c r="AI167" s="338"/>
      <c r="AJ167" s="338"/>
      <c r="AK167" s="338"/>
      <c r="AL167" s="338"/>
      <c r="AM167" s="338"/>
      <c r="AN167" s="338"/>
      <c r="AO167" s="338"/>
      <c r="AP167" s="338"/>
      <c r="AQ167" s="338"/>
      <c r="AR167" s="338"/>
      <c r="AS167" s="338"/>
      <c r="AT167" s="338"/>
      <c r="AU167" s="338"/>
      <c r="AV167" s="338"/>
      <c r="AW167" s="338"/>
      <c r="AX167" s="338"/>
      <c r="AY167" s="338"/>
      <c r="AZ167" s="338"/>
    </row>
    <row r="168" spans="1:52" s="1086" customFormat="1" ht="12.75">
      <c r="A168" s="338" t="s">
        <v>307</v>
      </c>
      <c r="B168" s="338"/>
      <c r="C168" s="338"/>
      <c r="D168" s="338"/>
      <c r="E168" s="338"/>
      <c r="F168" s="338"/>
      <c r="G168" s="338"/>
      <c r="H168" s="338"/>
      <c r="I168" s="338"/>
      <c r="J168" s="338"/>
      <c r="K168" s="338"/>
      <c r="L168" s="338"/>
      <c r="M168" s="338"/>
      <c r="N168" s="338"/>
      <c r="O168" s="338"/>
      <c r="P168" s="338"/>
      <c r="Q168" s="338"/>
      <c r="R168" s="338"/>
      <c r="S168" s="338"/>
      <c r="T168" s="338"/>
      <c r="U168" s="338"/>
      <c r="V168" s="338"/>
      <c r="W168" s="338"/>
      <c r="X168" s="338"/>
      <c r="Y168" s="338"/>
      <c r="Z168" s="338"/>
      <c r="AA168" s="338"/>
      <c r="AB168" s="338"/>
      <c r="AC168" s="338"/>
      <c r="AD168" s="338"/>
      <c r="AE168" s="338"/>
      <c r="AF168" s="338"/>
      <c r="AG168" s="338"/>
      <c r="AH168" s="338"/>
      <c r="AI168" s="338"/>
      <c r="AJ168" s="338"/>
      <c r="AK168" s="338"/>
      <c r="AL168" s="338"/>
      <c r="AM168" s="338"/>
      <c r="AN168" s="338"/>
      <c r="AO168" s="338"/>
      <c r="AP168" s="338"/>
      <c r="AQ168" s="338"/>
      <c r="AR168" s="338"/>
      <c r="AS168" s="338"/>
      <c r="AT168" s="338"/>
      <c r="AU168" s="338"/>
      <c r="AV168" s="338"/>
      <c r="AW168" s="338"/>
      <c r="AX168" s="338"/>
      <c r="AY168" s="338"/>
      <c r="AZ168" s="338"/>
    </row>
    <row r="169" spans="1:52" s="1086" customFormat="1" ht="12.75">
      <c r="A169" s="338" t="s">
        <v>18</v>
      </c>
      <c r="B169" s="338"/>
      <c r="C169" s="338"/>
      <c r="D169" s="338"/>
      <c r="E169" s="338"/>
      <c r="F169" s="338"/>
      <c r="G169" s="338"/>
      <c r="H169" s="338"/>
      <c r="I169" s="338"/>
      <c r="J169" s="338"/>
      <c r="K169" s="338"/>
      <c r="L169" s="338"/>
      <c r="M169" s="338"/>
      <c r="N169" s="338"/>
      <c r="O169" s="338"/>
      <c r="P169" s="338"/>
      <c r="Q169" s="338"/>
      <c r="R169" s="338"/>
      <c r="S169" s="338"/>
      <c r="T169" s="338"/>
      <c r="U169" s="338"/>
      <c r="V169" s="338"/>
      <c r="W169" s="338"/>
      <c r="X169" s="338"/>
      <c r="Y169" s="338"/>
      <c r="Z169" s="338"/>
      <c r="AA169" s="338"/>
      <c r="AB169" s="338"/>
      <c r="AC169" s="338"/>
      <c r="AD169" s="338"/>
      <c r="AE169" s="338"/>
      <c r="AF169" s="338"/>
      <c r="AG169" s="338"/>
      <c r="AH169" s="338"/>
      <c r="AI169" s="338"/>
      <c r="AJ169" s="338"/>
      <c r="AK169" s="338"/>
      <c r="AL169" s="338"/>
      <c r="AM169" s="338"/>
      <c r="AN169" s="338"/>
      <c r="AO169" s="338"/>
      <c r="AP169" s="338"/>
      <c r="AQ169" s="338"/>
      <c r="AR169" s="338"/>
      <c r="AS169" s="338"/>
      <c r="AT169" s="338"/>
      <c r="AU169" s="338"/>
      <c r="AV169" s="338"/>
      <c r="AW169" s="338"/>
      <c r="AX169" s="338"/>
      <c r="AY169" s="338"/>
      <c r="AZ169" s="338"/>
    </row>
    <row r="170" spans="1:52" s="1086" customFormat="1" ht="12.75">
      <c r="A170" s="338" t="s">
        <v>19</v>
      </c>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row>
    <row r="171" spans="1:52" s="1086" customFormat="1" ht="12.75">
      <c r="A171" s="338" t="s">
        <v>113</v>
      </c>
      <c r="B171" s="338"/>
      <c r="C171" s="338"/>
      <c r="D171" s="338"/>
      <c r="E171" s="338"/>
      <c r="F171" s="338"/>
      <c r="G171" s="338"/>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8"/>
      <c r="AH171" s="338"/>
      <c r="AI171" s="338"/>
      <c r="AJ171" s="338"/>
      <c r="AK171" s="338"/>
      <c r="AL171" s="338"/>
      <c r="AM171" s="338"/>
      <c r="AN171" s="338"/>
      <c r="AO171" s="338"/>
      <c r="AP171" s="338"/>
      <c r="AQ171" s="338"/>
      <c r="AR171" s="338"/>
      <c r="AS171" s="338"/>
      <c r="AT171" s="338"/>
      <c r="AU171" s="338"/>
      <c r="AV171" s="338"/>
      <c r="AW171" s="338"/>
      <c r="AX171" s="338"/>
      <c r="AY171" s="338"/>
      <c r="AZ171" s="338"/>
    </row>
    <row r="172" spans="1:52" s="1086" customFormat="1" ht="12.75">
      <c r="A172" s="338" t="s">
        <v>170</v>
      </c>
      <c r="B172" s="338"/>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8"/>
      <c r="AK172" s="338"/>
      <c r="AL172" s="338"/>
      <c r="AM172" s="338"/>
      <c r="AN172" s="338"/>
      <c r="AO172" s="338"/>
      <c r="AP172" s="338"/>
      <c r="AQ172" s="338"/>
      <c r="AR172" s="338"/>
      <c r="AS172" s="338"/>
      <c r="AT172" s="338"/>
      <c r="AU172" s="338"/>
      <c r="AV172" s="338"/>
      <c r="AW172" s="338"/>
      <c r="AX172" s="338"/>
      <c r="AY172" s="338"/>
      <c r="AZ172" s="338"/>
    </row>
    <row r="173" spans="1:52" s="1086" customFormat="1" ht="12.75">
      <c r="A173" s="338" t="s">
        <v>594</v>
      </c>
      <c r="B173" s="338"/>
      <c r="C173" s="338"/>
      <c r="D173" s="338"/>
      <c r="E173" s="338"/>
      <c r="F173" s="338"/>
      <c r="G173" s="338"/>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c r="AG173" s="338"/>
      <c r="AH173" s="338"/>
      <c r="AI173" s="338"/>
      <c r="AJ173" s="338"/>
      <c r="AK173" s="338"/>
      <c r="AL173" s="338"/>
      <c r="AM173" s="338"/>
      <c r="AN173" s="338"/>
      <c r="AO173" s="338"/>
      <c r="AP173" s="338"/>
      <c r="AQ173" s="338"/>
      <c r="AR173" s="338"/>
      <c r="AS173" s="338"/>
      <c r="AT173" s="338"/>
      <c r="AU173" s="338"/>
      <c r="AV173" s="338"/>
      <c r="AW173" s="338"/>
      <c r="AX173" s="338"/>
      <c r="AY173" s="338"/>
      <c r="AZ173" s="338"/>
    </row>
    <row r="174" spans="1:52" s="1086" customFormat="1" ht="12.75">
      <c r="A174" s="338" t="s">
        <v>595</v>
      </c>
      <c r="B174" s="338"/>
      <c r="C174" s="338"/>
      <c r="D174" s="338"/>
      <c r="E174" s="338"/>
      <c r="F174" s="338"/>
      <c r="G174" s="338"/>
      <c r="H174" s="338"/>
      <c r="I174" s="338"/>
      <c r="J174" s="338"/>
      <c r="K174" s="338"/>
      <c r="L174" s="338"/>
      <c r="M174" s="338"/>
      <c r="N174" s="338"/>
      <c r="O174" s="338"/>
      <c r="P174" s="338"/>
      <c r="Q174" s="338"/>
      <c r="R174" s="338"/>
      <c r="S174" s="338"/>
      <c r="T174" s="338"/>
      <c r="U174" s="338"/>
      <c r="V174" s="338"/>
      <c r="W174" s="338"/>
      <c r="X174" s="338"/>
      <c r="Y174" s="338"/>
      <c r="Z174" s="338"/>
      <c r="AA174" s="338"/>
      <c r="AB174" s="338"/>
      <c r="AC174" s="338"/>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38"/>
      <c r="AY174" s="338"/>
      <c r="AZ174" s="338"/>
    </row>
    <row r="175" spans="1:52" s="1086" customFormat="1" ht="12.75">
      <c r="A175" s="338" t="s">
        <v>599</v>
      </c>
      <c r="B175" s="338"/>
      <c r="C175" s="338"/>
      <c r="D175" s="338"/>
      <c r="E175" s="338"/>
      <c r="F175" s="338"/>
      <c r="G175" s="338"/>
      <c r="H175" s="338"/>
      <c r="I175" s="338"/>
      <c r="J175" s="338"/>
      <c r="K175" s="338"/>
      <c r="L175" s="338"/>
      <c r="M175" s="338"/>
      <c r="N175" s="338"/>
      <c r="O175" s="338"/>
      <c r="P175" s="338"/>
      <c r="Q175" s="338"/>
      <c r="R175" s="338"/>
      <c r="S175" s="338"/>
      <c r="T175" s="338"/>
      <c r="U175" s="338"/>
      <c r="V175" s="338"/>
      <c r="W175" s="338"/>
      <c r="X175" s="338"/>
      <c r="Y175" s="338"/>
      <c r="Z175" s="338"/>
      <c r="AA175" s="338"/>
      <c r="AB175" s="338"/>
      <c r="AC175" s="338"/>
      <c r="AD175" s="338"/>
      <c r="AE175" s="338"/>
      <c r="AF175" s="338"/>
      <c r="AG175" s="338"/>
      <c r="AH175" s="338"/>
      <c r="AI175" s="338"/>
      <c r="AJ175" s="338"/>
      <c r="AK175" s="338"/>
      <c r="AL175" s="338"/>
      <c r="AM175" s="338"/>
      <c r="AN175" s="338"/>
      <c r="AO175" s="338"/>
      <c r="AP175" s="338"/>
      <c r="AQ175" s="338"/>
      <c r="AR175" s="338"/>
      <c r="AS175" s="338"/>
      <c r="AT175" s="338"/>
      <c r="AU175" s="338"/>
      <c r="AV175" s="338"/>
      <c r="AW175" s="338"/>
      <c r="AX175" s="338"/>
      <c r="AY175" s="338"/>
      <c r="AZ175" s="338"/>
    </row>
    <row r="176" spans="1:52" s="1086" customFormat="1" ht="12.75">
      <c r="A176" s="338" t="s">
        <v>187</v>
      </c>
      <c r="B176" s="338"/>
      <c r="C176" s="338"/>
      <c r="D176" s="338"/>
      <c r="E176" s="338"/>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row>
    <row r="177" spans="1:52" s="1086" customFormat="1" ht="12.75">
      <c r="A177" s="338" t="s">
        <v>173</v>
      </c>
      <c r="B177" s="338"/>
      <c r="C177" s="338"/>
      <c r="D177" s="338"/>
      <c r="E177" s="338"/>
      <c r="F177" s="338"/>
      <c r="G177" s="338"/>
      <c r="H177" s="338"/>
      <c r="I177" s="338"/>
      <c r="J177" s="338"/>
      <c r="K177" s="338"/>
      <c r="L177" s="338"/>
      <c r="M177" s="338"/>
      <c r="N177" s="338"/>
      <c r="O177" s="338"/>
      <c r="P177" s="338"/>
      <c r="Q177" s="338"/>
      <c r="R177" s="338"/>
      <c r="S177" s="338"/>
      <c r="T177" s="338"/>
      <c r="U177" s="338"/>
      <c r="V177" s="338"/>
      <c r="W177" s="338"/>
      <c r="X177" s="338"/>
      <c r="Y177" s="338"/>
      <c r="Z177" s="338"/>
      <c r="AA177" s="338"/>
      <c r="AB177" s="338"/>
      <c r="AC177" s="338"/>
      <c r="AD177" s="338"/>
      <c r="AE177" s="338"/>
      <c r="AF177" s="338"/>
      <c r="AG177" s="338"/>
      <c r="AH177" s="338"/>
      <c r="AI177" s="338"/>
      <c r="AJ177" s="338"/>
      <c r="AK177" s="338"/>
      <c r="AL177" s="338"/>
      <c r="AM177" s="338"/>
      <c r="AN177" s="338"/>
      <c r="AO177" s="338"/>
      <c r="AP177" s="338"/>
      <c r="AQ177" s="338"/>
      <c r="AR177" s="338"/>
      <c r="AS177" s="338"/>
      <c r="AT177" s="338"/>
      <c r="AU177" s="338"/>
      <c r="AV177" s="338"/>
      <c r="AW177" s="338"/>
      <c r="AX177" s="338"/>
      <c r="AY177" s="338"/>
      <c r="AZ177" s="338"/>
    </row>
    <row r="178" spans="1:52" s="1086" customFormat="1" ht="12.75">
      <c r="A178" s="338" t="s">
        <v>226</v>
      </c>
      <c r="B178" s="338"/>
      <c r="C178" s="338"/>
      <c r="D178" s="338"/>
      <c r="E178" s="338"/>
      <c r="F178" s="338"/>
      <c r="G178" s="338"/>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38"/>
      <c r="AY178" s="338"/>
      <c r="AZ178" s="338"/>
    </row>
    <row r="179" spans="1:52" s="1086" customFormat="1" ht="12.75">
      <c r="A179" s="338" t="s">
        <v>227</v>
      </c>
      <c r="B179" s="338"/>
      <c r="C179" s="338"/>
      <c r="D179" s="338"/>
      <c r="E179" s="338"/>
      <c r="F179" s="338"/>
      <c r="G179" s="338"/>
      <c r="H179" s="338"/>
      <c r="I179" s="338"/>
      <c r="J179" s="338"/>
      <c r="K179" s="338"/>
      <c r="L179" s="338"/>
      <c r="M179" s="338"/>
      <c r="N179" s="338"/>
      <c r="O179" s="338"/>
      <c r="P179" s="338"/>
      <c r="Q179" s="338"/>
      <c r="R179" s="338"/>
      <c r="S179" s="338"/>
      <c r="T179" s="338"/>
      <c r="U179" s="338"/>
      <c r="V179" s="338"/>
      <c r="W179" s="338"/>
      <c r="X179" s="338"/>
      <c r="Y179" s="338"/>
      <c r="Z179" s="338"/>
      <c r="AA179" s="338"/>
      <c r="AB179" s="338"/>
      <c r="AC179" s="338"/>
      <c r="AD179" s="338"/>
      <c r="AE179" s="338"/>
      <c r="AF179" s="338"/>
      <c r="AG179" s="338"/>
      <c r="AH179" s="338"/>
      <c r="AI179" s="338"/>
      <c r="AJ179" s="338"/>
      <c r="AK179" s="338"/>
      <c r="AL179" s="338"/>
      <c r="AM179" s="338"/>
      <c r="AN179" s="338"/>
      <c r="AO179" s="338"/>
      <c r="AP179" s="338"/>
      <c r="AQ179" s="338"/>
      <c r="AR179" s="338"/>
      <c r="AS179" s="338"/>
      <c r="AT179" s="338"/>
      <c r="AU179" s="338"/>
      <c r="AV179" s="338"/>
      <c r="AW179" s="338"/>
      <c r="AX179" s="338"/>
      <c r="AY179" s="338"/>
      <c r="AZ179" s="338"/>
    </row>
    <row r="180" spans="1:52" s="1086" customFormat="1" ht="12.75">
      <c r="A180" s="338" t="s">
        <v>228</v>
      </c>
      <c r="B180" s="338"/>
      <c r="C180" s="338"/>
      <c r="D180" s="338"/>
      <c r="E180" s="338"/>
      <c r="F180" s="338"/>
      <c r="G180" s="338"/>
      <c r="H180" s="338"/>
      <c r="I180" s="338"/>
      <c r="J180" s="338"/>
      <c r="K180" s="338"/>
      <c r="L180" s="338"/>
      <c r="M180" s="338"/>
      <c r="N180" s="338"/>
      <c r="O180" s="338"/>
      <c r="P180" s="338"/>
      <c r="Q180" s="338"/>
      <c r="R180" s="338"/>
      <c r="S180" s="338"/>
      <c r="T180" s="338"/>
      <c r="U180" s="338"/>
      <c r="V180" s="338"/>
      <c r="W180" s="338"/>
      <c r="X180" s="338"/>
      <c r="Y180" s="338"/>
      <c r="Z180" s="338"/>
      <c r="AA180" s="338"/>
      <c r="AB180" s="338"/>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38"/>
      <c r="AY180" s="338"/>
      <c r="AZ180" s="338"/>
    </row>
    <row r="181" spans="1:52" s="1086" customFormat="1" ht="12.75">
      <c r="A181" s="338" t="s">
        <v>132</v>
      </c>
      <c r="B181" s="338"/>
      <c r="C181" s="338"/>
      <c r="D181" s="338"/>
      <c r="E181" s="338"/>
      <c r="F181" s="338"/>
      <c r="G181" s="338"/>
      <c r="H181" s="338"/>
      <c r="I181" s="338"/>
      <c r="J181" s="338"/>
      <c r="K181" s="338"/>
      <c r="L181" s="338"/>
      <c r="M181" s="338"/>
      <c r="N181" s="338"/>
      <c r="O181" s="338"/>
      <c r="P181" s="338"/>
      <c r="Q181" s="338"/>
      <c r="R181" s="338"/>
      <c r="S181" s="338"/>
      <c r="T181" s="338"/>
      <c r="U181" s="338"/>
      <c r="V181" s="338"/>
      <c r="W181" s="338"/>
      <c r="X181" s="338"/>
      <c r="Y181" s="338"/>
      <c r="Z181" s="338"/>
      <c r="AA181" s="338"/>
      <c r="AB181" s="338"/>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38"/>
      <c r="AY181" s="338"/>
      <c r="AZ181" s="338"/>
    </row>
    <row r="182" spans="1:52" s="1086" customFormat="1" ht="12.75">
      <c r="A182" s="338" t="s">
        <v>133</v>
      </c>
      <c r="B182" s="338"/>
      <c r="C182" s="338"/>
      <c r="D182" s="338"/>
      <c r="E182" s="338"/>
      <c r="F182" s="338"/>
      <c r="G182" s="338"/>
      <c r="H182" s="338"/>
      <c r="I182" s="338"/>
      <c r="J182" s="338"/>
      <c r="K182" s="338"/>
      <c r="L182" s="338"/>
      <c r="M182" s="338"/>
      <c r="N182" s="338"/>
      <c r="O182" s="338"/>
      <c r="P182" s="338"/>
      <c r="Q182" s="338"/>
      <c r="R182" s="338"/>
      <c r="S182" s="338"/>
      <c r="T182" s="338"/>
      <c r="U182" s="338"/>
      <c r="V182" s="338"/>
      <c r="W182" s="338"/>
      <c r="X182" s="338"/>
      <c r="Y182" s="338"/>
      <c r="Z182" s="338"/>
      <c r="AA182" s="338"/>
      <c r="AB182" s="338"/>
      <c r="AC182" s="338"/>
      <c r="AD182" s="338"/>
      <c r="AE182" s="338"/>
      <c r="AF182" s="338"/>
      <c r="AG182" s="338"/>
      <c r="AH182" s="338"/>
      <c r="AI182" s="338"/>
      <c r="AJ182" s="338"/>
      <c r="AK182" s="338"/>
      <c r="AL182" s="338"/>
      <c r="AM182" s="338"/>
      <c r="AN182" s="338"/>
      <c r="AO182" s="338"/>
      <c r="AP182" s="338"/>
      <c r="AQ182" s="338"/>
      <c r="AR182" s="338"/>
      <c r="AS182" s="338"/>
      <c r="AT182" s="338"/>
      <c r="AU182" s="338"/>
      <c r="AV182" s="338"/>
      <c r="AW182" s="338"/>
      <c r="AX182" s="338"/>
      <c r="AY182" s="338"/>
      <c r="AZ182" s="338"/>
    </row>
    <row r="183" spans="1:52" s="1086" customFormat="1" ht="12.75">
      <c r="A183" s="338" t="s">
        <v>131</v>
      </c>
      <c r="B183" s="338"/>
      <c r="C183" s="338"/>
      <c r="D183" s="338"/>
      <c r="E183" s="338"/>
      <c r="F183" s="338"/>
      <c r="G183" s="338"/>
      <c r="H183" s="338"/>
      <c r="I183" s="338"/>
      <c r="J183" s="338"/>
      <c r="K183" s="338"/>
      <c r="L183" s="338"/>
      <c r="M183" s="338"/>
      <c r="N183" s="338"/>
      <c r="O183" s="338"/>
      <c r="P183" s="338"/>
      <c r="Q183" s="338"/>
      <c r="R183" s="338"/>
      <c r="S183" s="338"/>
      <c r="T183" s="338"/>
      <c r="U183" s="338"/>
      <c r="V183" s="338"/>
      <c r="W183" s="338"/>
      <c r="X183" s="338"/>
      <c r="Y183" s="338"/>
      <c r="Z183" s="338"/>
      <c r="AA183" s="338"/>
      <c r="AB183" s="338"/>
      <c r="AC183" s="338"/>
      <c r="AD183" s="338"/>
      <c r="AE183" s="338"/>
      <c r="AF183" s="338"/>
      <c r="AG183" s="338"/>
      <c r="AH183" s="338"/>
      <c r="AI183" s="338"/>
      <c r="AJ183" s="338"/>
      <c r="AK183" s="338"/>
      <c r="AL183" s="338"/>
      <c r="AM183" s="338"/>
      <c r="AN183" s="338"/>
      <c r="AO183" s="338"/>
      <c r="AP183" s="338"/>
      <c r="AQ183" s="338"/>
      <c r="AR183" s="338"/>
      <c r="AS183" s="338"/>
      <c r="AT183" s="338"/>
      <c r="AU183" s="338"/>
      <c r="AV183" s="338"/>
      <c r="AW183" s="338"/>
      <c r="AX183" s="338"/>
      <c r="AY183" s="338"/>
      <c r="AZ183" s="338"/>
    </row>
    <row r="184" spans="1:52" s="1086" customFormat="1" ht="12.75">
      <c r="A184" s="331" t="s">
        <v>134</v>
      </c>
      <c r="B184" s="338"/>
      <c r="C184" s="338"/>
      <c r="D184" s="338"/>
      <c r="E184" s="338"/>
      <c r="F184" s="338"/>
      <c r="G184" s="338"/>
      <c r="H184" s="338"/>
      <c r="I184" s="338"/>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338"/>
      <c r="AM184" s="338"/>
      <c r="AN184" s="338"/>
      <c r="AO184" s="338"/>
      <c r="AP184" s="338"/>
      <c r="AQ184" s="338"/>
      <c r="AR184" s="338"/>
      <c r="AS184" s="338"/>
      <c r="AT184" s="338"/>
      <c r="AU184" s="338"/>
      <c r="AV184" s="338"/>
      <c r="AW184" s="338"/>
      <c r="AX184" s="338"/>
      <c r="AY184" s="338"/>
      <c r="AZ184" s="338"/>
    </row>
    <row r="185" spans="1:52" s="1086" customFormat="1" ht="12.75">
      <c r="A185" s="313" t="s">
        <v>623</v>
      </c>
      <c r="B185" s="338"/>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8"/>
      <c r="AI185" s="338"/>
      <c r="AJ185" s="338"/>
      <c r="AK185" s="338"/>
      <c r="AL185" s="338"/>
      <c r="AM185" s="338"/>
      <c r="AN185" s="338"/>
      <c r="AO185" s="338"/>
      <c r="AP185" s="338"/>
      <c r="AQ185" s="338"/>
      <c r="AR185" s="338"/>
      <c r="AS185" s="338"/>
      <c r="AT185" s="338"/>
      <c r="AU185" s="338"/>
      <c r="AV185" s="338"/>
      <c r="AW185" s="338"/>
      <c r="AX185" s="338"/>
      <c r="AY185" s="338"/>
      <c r="AZ185" s="338"/>
    </row>
    <row r="186" spans="1:52" s="35" customFormat="1" ht="12.75">
      <c r="A186" s="8" t="s">
        <v>135</v>
      </c>
      <c r="B186" s="330"/>
      <c r="C186" s="330"/>
      <c r="D186" s="330"/>
      <c r="E186" s="330"/>
      <c r="F186" s="330"/>
      <c r="G186" s="330"/>
      <c r="H186" s="330"/>
      <c r="I186" s="330"/>
      <c r="J186" s="330"/>
      <c r="K186" s="330"/>
      <c r="L186" s="330"/>
      <c r="M186" s="330"/>
      <c r="N186" s="330"/>
      <c r="O186" s="330"/>
      <c r="P186" s="330"/>
      <c r="Q186" s="330"/>
      <c r="R186" s="330"/>
      <c r="S186" s="330"/>
      <c r="T186" s="330"/>
      <c r="U186" s="330"/>
      <c r="V186" s="330"/>
      <c r="W186" s="330"/>
      <c r="X186" s="330"/>
      <c r="Y186" s="330"/>
      <c r="Z186" s="330"/>
      <c r="AA186" s="330"/>
      <c r="AB186" s="330"/>
      <c r="AC186" s="330"/>
      <c r="AD186" s="330"/>
      <c r="AE186" s="330"/>
      <c r="AF186" s="330"/>
      <c r="AG186" s="330"/>
      <c r="AH186" s="330"/>
      <c r="AI186" s="330"/>
      <c r="AJ186" s="330"/>
      <c r="AK186" s="330"/>
      <c r="AL186" s="330"/>
      <c r="AM186" s="330"/>
      <c r="AN186" s="330"/>
      <c r="AO186" s="330"/>
      <c r="AP186" s="330"/>
      <c r="AQ186" s="330"/>
      <c r="AR186" s="330"/>
      <c r="AS186" s="330"/>
      <c r="AT186" s="330"/>
      <c r="AU186" s="330"/>
      <c r="AV186" s="330"/>
      <c r="AW186" s="330"/>
      <c r="AX186" s="330"/>
      <c r="AY186" s="330"/>
      <c r="AZ186" s="330"/>
    </row>
    <row r="187" spans="1:52" ht="13.5" thickBot="1">
      <c r="A187" s="1685" t="s">
        <v>601</v>
      </c>
      <c r="B187" s="1686"/>
      <c r="C187" s="1686"/>
      <c r="D187" s="1686"/>
      <c r="E187" s="1686"/>
      <c r="F187" s="1686"/>
      <c r="G187" s="1686"/>
      <c r="H187" s="1686"/>
      <c r="I187" s="1686"/>
      <c r="J187" s="1686"/>
      <c r="K187" s="1686"/>
      <c r="L187" s="1686"/>
      <c r="M187" s="1686"/>
      <c r="N187" s="1686"/>
      <c r="O187" s="1686"/>
      <c r="P187" s="1686"/>
      <c r="Q187" s="1686"/>
      <c r="R187" s="1686"/>
      <c r="S187" s="1686"/>
      <c r="T187" s="1686"/>
      <c r="U187" s="1686"/>
      <c r="V187" s="1686"/>
      <c r="W187" s="1686"/>
      <c r="X187" s="1686"/>
      <c r="Y187" s="1686"/>
      <c r="Z187" s="1686"/>
      <c r="AA187" s="1686"/>
      <c r="AB187" s="1686"/>
      <c r="AC187" s="1686"/>
      <c r="AD187" s="1686"/>
      <c r="AE187" s="1686"/>
      <c r="AF187" s="1686"/>
      <c r="AG187" s="1686"/>
      <c r="AH187" s="1686"/>
      <c r="AI187" s="1686"/>
      <c r="AJ187" s="1686"/>
      <c r="AK187" s="1686"/>
      <c r="AL187" s="1686"/>
      <c r="AM187" s="1686"/>
      <c r="AN187" s="1686"/>
      <c r="AO187" s="1686"/>
      <c r="AP187" s="1686"/>
      <c r="AQ187" s="1686"/>
      <c r="AR187" s="1686"/>
      <c r="AS187" s="1686"/>
      <c r="AT187" s="1686"/>
      <c r="AU187" s="1686"/>
      <c r="AV187" s="1686"/>
      <c r="AW187" s="1686"/>
      <c r="AX187" s="1686"/>
      <c r="AY187" s="1686"/>
      <c r="AZ187" s="1686"/>
    </row>
    <row r="188" spans="1:52" ht="12.75">
      <c r="A188" s="8"/>
      <c r="B188" s="330"/>
      <c r="C188" s="330"/>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c r="AE188" s="330"/>
      <c r="AF188" s="330"/>
      <c r="AG188" s="330"/>
      <c r="AH188" s="330"/>
      <c r="AI188" s="330"/>
      <c r="AJ188" s="330"/>
      <c r="AK188" s="330"/>
      <c r="AL188" s="330"/>
      <c r="AM188" s="330"/>
      <c r="AN188" s="330"/>
      <c r="AO188" s="330"/>
      <c r="AP188" s="330"/>
      <c r="AQ188" s="330"/>
      <c r="AR188" s="330"/>
      <c r="AS188" s="330"/>
      <c r="AT188" s="330"/>
      <c r="AU188" s="330"/>
      <c r="AV188" s="330"/>
      <c r="AW188" s="330"/>
      <c r="AX188" s="330"/>
      <c r="AY188" s="330"/>
      <c r="AZ188" s="330"/>
    </row>
    <row r="189" spans="1:52" ht="12.75" hidden="1">
      <c r="A189" s="8"/>
      <c r="B189" s="330"/>
      <c r="C189" s="330"/>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0"/>
      <c r="AD189" s="330"/>
      <c r="AE189" s="330"/>
      <c r="AF189" s="330"/>
      <c r="AG189" s="330"/>
      <c r="AH189" s="330"/>
      <c r="AI189" s="330"/>
      <c r="AJ189" s="330"/>
      <c r="AK189" s="330"/>
      <c r="AL189" s="330"/>
      <c r="AM189" s="330"/>
      <c r="AN189" s="330"/>
      <c r="AO189" s="330"/>
      <c r="AP189" s="330"/>
      <c r="AQ189" s="330"/>
      <c r="AR189" s="330"/>
      <c r="AS189" s="330"/>
      <c r="AT189" s="330"/>
      <c r="AU189" s="330"/>
      <c r="AV189" s="330"/>
      <c r="AW189" s="330"/>
      <c r="AX189" s="330"/>
      <c r="AY189" s="330"/>
      <c r="AZ189" s="330"/>
    </row>
    <row r="190" spans="1:52" ht="12.75" hidden="1">
      <c r="A190" s="8"/>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row>
    <row r="191" spans="1:52" ht="12.75" hidden="1">
      <c r="A191" s="8"/>
      <c r="B191" s="1535"/>
      <c r="C191" s="1535"/>
      <c r="D191" s="1535"/>
      <c r="E191" s="1535"/>
      <c r="F191" s="15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row>
    <row r="192" s="35" customFormat="1" ht="12.75" hidden="1">
      <c r="A192" s="8"/>
    </row>
    <row r="193" s="35" customFormat="1" ht="12.75" hidden="1">
      <c r="A193" s="8"/>
    </row>
    <row r="194" s="35" customFormat="1" ht="12.75">
      <c r="A194" s="8"/>
    </row>
    <row r="195" s="35" customFormat="1" ht="12.75">
      <c r="A195" s="8"/>
    </row>
    <row r="196" s="35" customFormat="1" ht="12.75">
      <c r="A196" s="8"/>
    </row>
    <row r="197" spans="1:52" s="335" customFormat="1" ht="12.75">
      <c r="A197" s="1687" t="s">
        <v>129</v>
      </c>
      <c r="B197" s="1688"/>
      <c r="C197" s="1688"/>
      <c r="D197" s="1688"/>
      <c r="E197" s="1688"/>
      <c r="F197" s="1688"/>
      <c r="G197" s="1688"/>
      <c r="H197" s="1688"/>
      <c r="I197" s="1688"/>
      <c r="J197" s="1688"/>
      <c r="K197" s="1688"/>
      <c r="L197" s="1688"/>
      <c r="M197" s="1688"/>
      <c r="N197" s="1688"/>
      <c r="O197" s="1688"/>
      <c r="P197" s="1688"/>
      <c r="Q197" s="1688"/>
      <c r="R197" s="1688"/>
      <c r="S197" s="1688"/>
      <c r="T197" s="1688"/>
      <c r="U197" s="1688"/>
      <c r="V197" s="1688"/>
      <c r="W197" s="1688"/>
      <c r="X197" s="1688"/>
      <c r="Y197" s="1688"/>
      <c r="Z197" s="1688"/>
      <c r="AA197" s="1688"/>
      <c r="AB197" s="1688"/>
      <c r="AC197" s="1688"/>
      <c r="AD197" s="1688"/>
      <c r="AE197" s="1688"/>
      <c r="AF197" s="1688"/>
      <c r="AG197" s="1688"/>
      <c r="AH197" s="1688"/>
      <c r="AI197" s="1688"/>
      <c r="AJ197" s="1688"/>
      <c r="AK197" s="1688"/>
      <c r="AL197" s="1688"/>
      <c r="AM197" s="1688"/>
      <c r="AN197" s="1688"/>
      <c r="AO197" s="1688"/>
      <c r="AP197" s="1688"/>
      <c r="AQ197" s="1688"/>
      <c r="AR197" s="1688"/>
      <c r="AS197" s="1688"/>
      <c r="AT197" s="1688"/>
      <c r="AU197" s="1688"/>
      <c r="AV197" s="1688"/>
      <c r="AW197" s="1688"/>
      <c r="AX197" s="1688"/>
      <c r="AY197" s="1688"/>
      <c r="AZ197" s="1688"/>
    </row>
    <row r="198" spans="1:52" s="335" customFormat="1" ht="13.5" thickBot="1">
      <c r="A198" s="1690" t="s">
        <v>418</v>
      </c>
      <c r="B198" s="1328"/>
      <c r="C198" s="1328"/>
      <c r="D198" s="1328"/>
      <c r="E198" s="1328"/>
      <c r="F198" s="1328"/>
      <c r="G198" s="1328"/>
      <c r="H198" s="1328"/>
      <c r="I198" s="1328"/>
      <c r="J198" s="1328"/>
      <c r="K198" s="1328"/>
      <c r="L198" s="1328"/>
      <c r="M198" s="1328"/>
      <c r="N198" s="1328"/>
      <c r="O198" s="1328"/>
      <c r="P198" s="1328"/>
      <c r="Q198" s="1328"/>
      <c r="R198" s="1328"/>
      <c r="S198" s="1328"/>
      <c r="T198" s="1328"/>
      <c r="U198" s="1328"/>
      <c r="V198" s="1328"/>
      <c r="W198" s="1328"/>
      <c r="X198" s="1328"/>
      <c r="Y198" s="1328"/>
      <c r="Z198" s="1328"/>
      <c r="AA198" s="1328"/>
      <c r="AB198" s="1328"/>
      <c r="AC198" s="1328"/>
      <c r="AD198" s="1328"/>
      <c r="AE198" s="1328"/>
      <c r="AF198" s="1328"/>
      <c r="AG198" s="1328"/>
      <c r="AH198" s="1328"/>
      <c r="AI198" s="1328"/>
      <c r="AJ198" s="1328"/>
      <c r="AK198" s="1328"/>
      <c r="AL198" s="1328"/>
      <c r="AM198" s="1328"/>
      <c r="AN198" s="1328"/>
      <c r="AO198" s="1328"/>
      <c r="AP198" s="1328"/>
      <c r="AQ198" s="1328"/>
      <c r="AR198" s="1328"/>
      <c r="AS198" s="1328"/>
      <c r="AT198" s="1328"/>
      <c r="AU198" s="1328"/>
      <c r="AV198" s="1328"/>
      <c r="AW198" s="1328"/>
      <c r="AX198" s="1328"/>
      <c r="AY198" s="1328"/>
      <c r="AZ198" s="1328"/>
    </row>
    <row r="199" spans="1:52" s="337" customFormat="1" ht="12.75">
      <c r="A199" s="1083" t="s">
        <v>436</v>
      </c>
      <c r="B199" s="1083"/>
      <c r="C199" s="1083"/>
      <c r="D199" s="1083"/>
      <c r="E199" s="1083"/>
      <c r="F199" s="1083"/>
      <c r="G199" s="1083"/>
      <c r="H199" s="1083"/>
      <c r="I199" s="1083"/>
      <c r="J199" s="1083"/>
      <c r="K199" s="1083"/>
      <c r="L199" s="1083"/>
      <c r="M199" s="1083"/>
      <c r="N199" s="1083"/>
      <c r="O199" s="1083"/>
      <c r="P199" s="1083"/>
      <c r="Q199" s="1083"/>
      <c r="R199" s="1083"/>
      <c r="S199" s="1083"/>
      <c r="T199" s="1083"/>
      <c r="U199" s="1083"/>
      <c r="V199" s="1083"/>
      <c r="W199" s="1083"/>
      <c r="X199" s="1083"/>
      <c r="Y199" s="1083"/>
      <c r="Z199" s="1083"/>
      <c r="AA199" s="1083"/>
      <c r="AB199" s="1083"/>
      <c r="AC199" s="1083"/>
      <c r="AD199" s="1083"/>
      <c r="AE199" s="1083"/>
      <c r="AF199" s="1083"/>
      <c r="AG199" s="1083"/>
      <c r="AH199" s="1083"/>
      <c r="AI199" s="1083"/>
      <c r="AJ199" s="1083"/>
      <c r="AK199" s="1083"/>
      <c r="AL199" s="1083"/>
      <c r="AM199" s="1083"/>
      <c r="AN199" s="1083"/>
      <c r="AO199" s="1083"/>
      <c r="AP199" s="1083"/>
      <c r="AQ199" s="1083"/>
      <c r="AR199" s="1083"/>
      <c r="AS199" s="1083"/>
      <c r="AT199" s="1083"/>
      <c r="AU199" s="1083"/>
      <c r="AV199" s="1083"/>
      <c r="AW199" s="1083"/>
      <c r="AX199" s="1083"/>
      <c r="AY199" s="1083"/>
      <c r="AZ199" s="1083"/>
    </row>
    <row r="200" spans="1:52" s="337" customFormat="1" ht="12.75">
      <c r="A200" s="1083" t="s">
        <v>437</v>
      </c>
      <c r="B200" s="1083"/>
      <c r="C200" s="1083"/>
      <c r="D200" s="1083"/>
      <c r="E200" s="1083"/>
      <c r="F200" s="1083"/>
      <c r="G200" s="1083"/>
      <c r="H200" s="1083"/>
      <c r="I200" s="1083"/>
      <c r="J200" s="1083"/>
      <c r="K200" s="1083"/>
      <c r="L200" s="1083"/>
      <c r="M200" s="1083"/>
      <c r="N200" s="1083"/>
      <c r="O200" s="1083"/>
      <c r="P200" s="1083"/>
      <c r="Q200" s="1083"/>
      <c r="R200" s="1083"/>
      <c r="S200" s="1083"/>
      <c r="T200" s="1083"/>
      <c r="U200" s="1083"/>
      <c r="V200" s="1083"/>
      <c r="W200" s="1083"/>
      <c r="X200" s="1083"/>
      <c r="Y200" s="1083"/>
      <c r="Z200" s="1083"/>
      <c r="AA200" s="1083"/>
      <c r="AB200" s="1083"/>
      <c r="AC200" s="1083"/>
      <c r="AD200" s="1083"/>
      <c r="AE200" s="1083"/>
      <c r="AF200" s="1083"/>
      <c r="AG200" s="1083"/>
      <c r="AH200" s="1083"/>
      <c r="AI200" s="1083"/>
      <c r="AJ200" s="1083"/>
      <c r="AK200" s="1083"/>
      <c r="AL200" s="1083"/>
      <c r="AM200" s="1083"/>
      <c r="AN200" s="1083"/>
      <c r="AO200" s="1083"/>
      <c r="AP200" s="1083"/>
      <c r="AQ200" s="1083"/>
      <c r="AR200" s="1083"/>
      <c r="AS200" s="1083"/>
      <c r="AT200" s="1083"/>
      <c r="AU200" s="1083"/>
      <c r="AV200" s="1083"/>
      <c r="AW200" s="1083"/>
      <c r="AX200" s="1083"/>
      <c r="AY200" s="1083"/>
      <c r="AZ200" s="1083"/>
    </row>
    <row r="201" spans="1:52" s="337" customFormat="1" ht="12.75">
      <c r="A201" s="1083" t="s">
        <v>50</v>
      </c>
      <c r="B201" s="1083"/>
      <c r="C201" s="1083"/>
      <c r="D201" s="1083"/>
      <c r="E201" s="1083"/>
      <c r="F201" s="1083"/>
      <c r="G201" s="1083"/>
      <c r="H201" s="1083"/>
      <c r="I201" s="1083"/>
      <c r="J201" s="1083"/>
      <c r="K201" s="1083"/>
      <c r="L201" s="1083"/>
      <c r="M201" s="1083"/>
      <c r="N201" s="1083"/>
      <c r="O201" s="1083"/>
      <c r="P201" s="1083"/>
      <c r="Q201" s="1083"/>
      <c r="R201" s="1083"/>
      <c r="S201" s="1083"/>
      <c r="T201" s="1083"/>
      <c r="U201" s="1083"/>
      <c r="V201" s="1083"/>
      <c r="W201" s="1083"/>
      <c r="X201" s="1083"/>
      <c r="Y201" s="1083"/>
      <c r="Z201" s="1083"/>
      <c r="AA201" s="1083"/>
      <c r="AB201" s="1083"/>
      <c r="AC201" s="1083"/>
      <c r="AD201" s="1083"/>
      <c r="AE201" s="1083"/>
      <c r="AF201" s="1083"/>
      <c r="AG201" s="1083"/>
      <c r="AH201" s="1083"/>
      <c r="AI201" s="1083"/>
      <c r="AJ201" s="1083"/>
      <c r="AK201" s="1083"/>
      <c r="AL201" s="1083"/>
      <c r="AM201" s="1083"/>
      <c r="AN201" s="1083"/>
      <c r="AO201" s="1083"/>
      <c r="AP201" s="1083"/>
      <c r="AQ201" s="1083"/>
      <c r="AR201" s="1083"/>
      <c r="AS201" s="1083"/>
      <c r="AT201" s="1083"/>
      <c r="AU201" s="1083"/>
      <c r="AV201" s="1083"/>
      <c r="AW201" s="1083"/>
      <c r="AX201" s="1083"/>
      <c r="AY201" s="1083"/>
      <c r="AZ201" s="1083"/>
    </row>
    <row r="202" spans="1:52" s="337" customFormat="1" ht="13.5" thickBot="1">
      <c r="A202" s="1689" t="s">
        <v>438</v>
      </c>
      <c r="B202" s="1689"/>
      <c r="C202" s="1689"/>
      <c r="D202" s="1689"/>
      <c r="E202" s="1689"/>
      <c r="F202" s="1689"/>
      <c r="G202" s="1689"/>
      <c r="H202" s="1689"/>
      <c r="I202" s="1689"/>
      <c r="J202" s="1689"/>
      <c r="K202" s="1689"/>
      <c r="L202" s="1689"/>
      <c r="M202" s="1689"/>
      <c r="N202" s="1689"/>
      <c r="O202" s="1689"/>
      <c r="P202" s="1689"/>
      <c r="Q202" s="1689"/>
      <c r="R202" s="1689"/>
      <c r="S202" s="1689"/>
      <c r="T202" s="1689"/>
      <c r="U202" s="1689"/>
      <c r="V202" s="1689"/>
      <c r="W202" s="1689"/>
      <c r="X202" s="1689"/>
      <c r="Y202" s="1689"/>
      <c r="Z202" s="1689"/>
      <c r="AA202" s="1689"/>
      <c r="AB202" s="1689"/>
      <c r="AC202" s="1689"/>
      <c r="AD202" s="1689"/>
      <c r="AE202" s="1689"/>
      <c r="AF202" s="1689"/>
      <c r="AG202" s="1689"/>
      <c r="AH202" s="1689"/>
      <c r="AI202" s="1689"/>
      <c r="AJ202" s="1689"/>
      <c r="AK202" s="1689"/>
      <c r="AL202" s="1689"/>
      <c r="AM202" s="1689"/>
      <c r="AN202" s="1689"/>
      <c r="AO202" s="1689"/>
      <c r="AP202" s="1689"/>
      <c r="AQ202" s="1689"/>
      <c r="AR202" s="1689"/>
      <c r="AS202" s="1689"/>
      <c r="AT202" s="1689"/>
      <c r="AU202" s="1689"/>
      <c r="AV202" s="1689"/>
      <c r="AW202" s="1689"/>
      <c r="AX202" s="1689"/>
      <c r="AY202" s="1689"/>
      <c r="AZ202" s="1689"/>
    </row>
    <row r="203" s="335" customFormat="1" ht="12.75">
      <c r="A203" s="15"/>
    </row>
    <row r="204" s="335" customFormat="1" ht="12.75">
      <c r="A204" s="15" t="s">
        <v>31</v>
      </c>
    </row>
    <row r="205" s="335" customFormat="1" ht="12.75">
      <c r="A205" s="15" t="s">
        <v>435</v>
      </c>
    </row>
    <row r="206" s="335" customFormat="1" ht="12.75">
      <c r="A206" s="15"/>
    </row>
    <row r="207" spans="1:52" s="335" customFormat="1" ht="12.75">
      <c r="A207" s="1084" t="s">
        <v>332</v>
      </c>
      <c r="B207" s="335" t="e">
        <f aca="true" t="shared" si="0" ref="B207:AG207">(study_raoults_calc/study_df_calc)*1000</f>
        <v>#DIV/0!</v>
      </c>
      <c r="C207" s="335" t="e">
        <f t="shared" si="0"/>
        <v>#DIV/0!</v>
      </c>
      <c r="D207" s="335" t="e">
        <f t="shared" si="0"/>
        <v>#DIV/0!</v>
      </c>
      <c r="E207" s="335" t="e">
        <f t="shared" si="0"/>
        <v>#DIV/0!</v>
      </c>
      <c r="F207" s="335" t="e">
        <f t="shared" si="0"/>
        <v>#DIV/0!</v>
      </c>
      <c r="G207" s="335" t="e">
        <f t="shared" si="0"/>
        <v>#DIV/0!</v>
      </c>
      <c r="H207" s="335" t="e">
        <f t="shared" si="0"/>
        <v>#DIV/0!</v>
      </c>
      <c r="I207" s="335" t="e">
        <f t="shared" si="0"/>
        <v>#DIV/0!</v>
      </c>
      <c r="J207" s="335" t="e">
        <f t="shared" si="0"/>
        <v>#DIV/0!</v>
      </c>
      <c r="K207" s="335" t="e">
        <f t="shared" si="0"/>
        <v>#DIV/0!</v>
      </c>
      <c r="L207" s="335" t="e">
        <f t="shared" si="0"/>
        <v>#DIV/0!</v>
      </c>
      <c r="M207" s="335" t="e">
        <f t="shared" si="0"/>
        <v>#DIV/0!</v>
      </c>
      <c r="N207" s="335" t="e">
        <f t="shared" si="0"/>
        <v>#DIV/0!</v>
      </c>
      <c r="O207" s="335" t="e">
        <f t="shared" si="0"/>
        <v>#DIV/0!</v>
      </c>
      <c r="P207" s="335" t="e">
        <f t="shared" si="0"/>
        <v>#DIV/0!</v>
      </c>
      <c r="Q207" s="335" t="e">
        <f t="shared" si="0"/>
        <v>#DIV/0!</v>
      </c>
      <c r="R207" s="335" t="e">
        <f t="shared" si="0"/>
        <v>#DIV/0!</v>
      </c>
      <c r="S207" s="335" t="e">
        <f t="shared" si="0"/>
        <v>#DIV/0!</v>
      </c>
      <c r="T207" s="335" t="e">
        <f t="shared" si="0"/>
        <v>#DIV/0!</v>
      </c>
      <c r="U207" s="335" t="e">
        <f t="shared" si="0"/>
        <v>#DIV/0!</v>
      </c>
      <c r="V207" s="335" t="e">
        <f t="shared" si="0"/>
        <v>#DIV/0!</v>
      </c>
      <c r="W207" s="335" t="e">
        <f t="shared" si="0"/>
        <v>#DIV/0!</v>
      </c>
      <c r="X207" s="335" t="e">
        <f t="shared" si="0"/>
        <v>#DIV/0!</v>
      </c>
      <c r="Y207" s="335" t="e">
        <f t="shared" si="0"/>
        <v>#DIV/0!</v>
      </c>
      <c r="Z207" s="335" t="e">
        <f t="shared" si="0"/>
        <v>#DIV/0!</v>
      </c>
      <c r="AA207" s="335" t="e">
        <f t="shared" si="0"/>
        <v>#DIV/0!</v>
      </c>
      <c r="AB207" s="335" t="e">
        <f t="shared" si="0"/>
        <v>#DIV/0!</v>
      </c>
      <c r="AC207" s="335" t="e">
        <f t="shared" si="0"/>
        <v>#DIV/0!</v>
      </c>
      <c r="AD207" s="335" t="e">
        <f t="shared" si="0"/>
        <v>#DIV/0!</v>
      </c>
      <c r="AE207" s="335" t="e">
        <f t="shared" si="0"/>
        <v>#DIV/0!</v>
      </c>
      <c r="AF207" s="335" t="e">
        <f t="shared" si="0"/>
        <v>#DIV/0!</v>
      </c>
      <c r="AG207" s="335" t="e">
        <f t="shared" si="0"/>
        <v>#DIV/0!</v>
      </c>
      <c r="AH207" s="335" t="e">
        <f aca="true" t="shared" si="1" ref="AH207:AZ207">(study_raoults_calc/study_df_calc)*1000</f>
        <v>#DIV/0!</v>
      </c>
      <c r="AI207" s="335" t="e">
        <f t="shared" si="1"/>
        <v>#DIV/0!</v>
      </c>
      <c r="AJ207" s="335" t="e">
        <f t="shared" si="1"/>
        <v>#DIV/0!</v>
      </c>
      <c r="AK207" s="335" t="e">
        <f t="shared" si="1"/>
        <v>#DIV/0!</v>
      </c>
      <c r="AL207" s="335" t="e">
        <f t="shared" si="1"/>
        <v>#DIV/0!</v>
      </c>
      <c r="AM207" s="335" t="e">
        <f t="shared" si="1"/>
        <v>#DIV/0!</v>
      </c>
      <c r="AN207" s="335" t="e">
        <f t="shared" si="1"/>
        <v>#DIV/0!</v>
      </c>
      <c r="AO207" s="335" t="e">
        <f t="shared" si="1"/>
        <v>#DIV/0!</v>
      </c>
      <c r="AP207" s="335" t="e">
        <f t="shared" si="1"/>
        <v>#DIV/0!</v>
      </c>
      <c r="AQ207" s="335" t="e">
        <f t="shared" si="1"/>
        <v>#DIV/0!</v>
      </c>
      <c r="AR207" s="335" t="e">
        <f t="shared" si="1"/>
        <v>#DIV/0!</v>
      </c>
      <c r="AS207" s="335" t="e">
        <f t="shared" si="1"/>
        <v>#DIV/0!</v>
      </c>
      <c r="AT207" s="335" t="e">
        <f t="shared" si="1"/>
        <v>#DIV/0!</v>
      </c>
      <c r="AU207" s="335" t="e">
        <f t="shared" si="1"/>
        <v>#DIV/0!</v>
      </c>
      <c r="AV207" s="335" t="e">
        <f t="shared" si="1"/>
        <v>#DIV/0!</v>
      </c>
      <c r="AW207" s="335" t="e">
        <f t="shared" si="1"/>
        <v>#DIV/0!</v>
      </c>
      <c r="AX207" s="335" t="e">
        <f t="shared" si="1"/>
        <v>#DIV/0!</v>
      </c>
      <c r="AY207" s="335" t="e">
        <f t="shared" si="1"/>
        <v>#DIV/0!</v>
      </c>
      <c r="AZ207" s="335" t="e">
        <f t="shared" si="1"/>
        <v>#DIV/0!</v>
      </c>
    </row>
    <row r="208" s="335" customFormat="1" ht="12.75">
      <c r="O208" s="1085"/>
    </row>
    <row r="209" s="35" customFormat="1" ht="12.75">
      <c r="O209" s="33"/>
    </row>
    <row r="210" s="35" customFormat="1" ht="12.75">
      <c r="O210" s="33"/>
    </row>
  </sheetData>
  <sheetProtection/>
  <printOptions/>
  <pageMargins left="0.25" right="0.39" top="0.35" bottom="0.3" header="0.23" footer="0.17"/>
  <pageSetup blackAndWhite="1" fitToWidth="2" fitToHeight="1" horizontalDpi="300" verticalDpi="300" orientation="portrait" scale="45" r:id="rId3"/>
  <drawing r:id="rId2"/>
  <legacyDrawing r:id="rId1"/>
</worksheet>
</file>

<file path=xl/worksheets/sheet26.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5546875" defaultRowHeight="4.5" customHeight="1"/>
  <cols>
    <col min="1" max="16384" width="0.85546875" style="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27.xml><?xml version="1.0" encoding="utf-8"?>
<worksheet xmlns="http://schemas.openxmlformats.org/spreadsheetml/2006/main" xmlns:r="http://schemas.openxmlformats.org/officeDocument/2006/relationships">
  <sheetPr codeName="Sheet5">
    <pageSetUpPr fitToPage="1"/>
  </sheetPr>
  <dimension ref="B1:J5"/>
  <sheetViews>
    <sheetView showGridLines="0" showRowColHeaders="0" zoomScale="91" zoomScaleNormal="91" zoomScalePageLayoutView="0" workbookViewId="0" topLeftCell="A1">
      <selection activeCell="H5" sqref="H5"/>
    </sheetView>
  </sheetViews>
  <sheetFormatPr defaultColWidth="9.140625" defaultRowHeight="12.75"/>
  <cols>
    <col min="1" max="1" width="10.421875" style="0" customWidth="1"/>
    <col min="3" max="3" width="13.00390625" style="0" bestFit="1" customWidth="1"/>
    <col min="5" max="5" width="14.28125" style="0" customWidth="1"/>
    <col min="8" max="8" width="9.28125" style="0" customWidth="1"/>
    <col min="10" max="10" width="12.421875" style="0" bestFit="1" customWidth="1"/>
  </cols>
  <sheetData>
    <row r="1" spans="2:5" ht="15">
      <c r="B1" s="269" t="str">
        <f>MainForm!B3</f>
        <v>Date:</v>
      </c>
      <c r="C1" s="270">
        <f>log_1</f>
        <v>38822</v>
      </c>
      <c r="D1" s="271"/>
      <c r="E1" s="271"/>
    </row>
    <row r="2" spans="2:10" ht="18">
      <c r="B2" s="269" t="str">
        <f>MainForm!B4</f>
        <v>Site Name:</v>
      </c>
      <c r="C2" s="272" t="str">
        <f>MainForm!C4</f>
        <v>ooo</v>
      </c>
      <c r="D2" s="271"/>
      <c r="E2" s="271"/>
      <c r="I2" s="3"/>
      <c r="J2" s="289"/>
    </row>
    <row r="3" spans="2:5" ht="15">
      <c r="B3" s="269" t="str">
        <f>MainForm!B5</f>
        <v>Sample Name:</v>
      </c>
      <c r="C3" s="273">
        <f>MainForm!C5</f>
        <v>0</v>
      </c>
      <c r="D3" s="271"/>
      <c r="E3" s="271"/>
    </row>
    <row r="4" spans="2:5" ht="18">
      <c r="B4" s="12"/>
      <c r="C4" s="290" t="s">
        <v>373</v>
      </c>
      <c r="D4" s="291"/>
      <c r="E4" s="399">
        <f>ini</f>
        <v>50000.00000000021</v>
      </c>
    </row>
    <row r="5" ht="12.75">
      <c r="B5" s="12"/>
    </row>
  </sheetData>
  <sheetProtection/>
  <printOptions horizontalCentered="1"/>
  <pageMargins left="1.32" right="0.75" top="1.11" bottom="1" header="0.5" footer="0.5"/>
  <pageSetup fitToHeight="1" fitToWidth="1" horizontalDpi="360" verticalDpi="360" orientation="landscape" r:id="rId3"/>
  <headerFooter alignWithMargins="0">
    <oddFooter>&amp;L&amp;D</oddFooter>
  </headerFooter>
  <drawing r:id="rId2"/>
  <legacyDrawing r:id="rId1"/>
</worksheet>
</file>

<file path=xl/worksheets/sheet28.xml><?xml version="1.0" encoding="utf-8"?>
<worksheet xmlns="http://schemas.openxmlformats.org/spreadsheetml/2006/main" xmlns:r="http://schemas.openxmlformats.org/officeDocument/2006/relationships">
  <sheetPr codeName="Sheet4">
    <pageSetUpPr fitToPage="1"/>
  </sheetPr>
  <dimension ref="A1:E65"/>
  <sheetViews>
    <sheetView showGridLines="0" showRowColHeaders="0" zoomScale="85" zoomScaleNormal="85" zoomScalePageLayoutView="0" workbookViewId="0" topLeftCell="A1">
      <selection activeCell="B4" sqref="B4"/>
    </sheetView>
  </sheetViews>
  <sheetFormatPr defaultColWidth="9.140625" defaultRowHeight="12.75"/>
  <cols>
    <col min="1" max="1" width="18.8515625" style="0" customWidth="1"/>
    <col min="2" max="2" width="16.140625" style="0" customWidth="1"/>
    <col min="3" max="3" width="17.8515625" style="0" customWidth="1"/>
    <col min="4" max="4" width="14.00390625" style="0" customWidth="1"/>
  </cols>
  <sheetData>
    <row r="1" spans="4:5" ht="12.75">
      <c r="D1" s="268" t="str">
        <f>MainForm!B3</f>
        <v>Date:</v>
      </c>
      <c r="E1" s="341">
        <f>MainForm!C3</f>
        <v>38822</v>
      </c>
    </row>
    <row r="2" spans="2:5" ht="15">
      <c r="B2" s="266" t="s">
        <v>342</v>
      </c>
      <c r="C2" s="400">
        <f>ini</f>
        <v>50000.00000000021</v>
      </c>
      <c r="D2" s="268" t="str">
        <f>MainForm!B4</f>
        <v>Site Name:</v>
      </c>
      <c r="E2" s="342" t="str">
        <f>MainForm!C4</f>
        <v>ooo</v>
      </c>
    </row>
    <row r="3" spans="4:5" ht="12.75">
      <c r="D3" s="268" t="str">
        <f>MainForm!B5</f>
        <v>Sample Name:</v>
      </c>
      <c r="E3" s="342">
        <f>MainForm!C5</f>
        <v>0</v>
      </c>
    </row>
    <row r="23" ht="21.75" customHeight="1"/>
    <row r="24" ht="21.75" customHeight="1"/>
    <row r="25" ht="21.75" customHeight="1"/>
    <row r="26" ht="21.75" customHeight="1"/>
    <row r="32" ht="38.25" customHeight="1"/>
    <row r="34" spans="1:4" ht="27" thickBot="1">
      <c r="A34" s="1631"/>
      <c r="B34" s="1632" t="s">
        <v>165</v>
      </c>
      <c r="C34" s="1632" t="s">
        <v>164</v>
      </c>
      <c r="D34" s="1256" t="s">
        <v>166</v>
      </c>
    </row>
    <row r="35" spans="1:4" ht="13.5" thickTop="1">
      <c r="A35" s="8" t="str">
        <f>'Soil-to-GroundWater'!A16</f>
        <v>AL_EC &gt;5-6</v>
      </c>
      <c r="B35" s="1633">
        <f>'Soil-to-GroundWater'!C16</f>
        <v>0.04141276696444418</v>
      </c>
      <c r="C35" s="1634">
        <f>'Soil-to-GroundWater'!AA16</f>
        <v>0.17360482240053624</v>
      </c>
      <c r="D35" s="1628">
        <f>'Soil-to-GroundWater'!AF16</f>
        <v>0.007613003836703865</v>
      </c>
    </row>
    <row r="36" spans="1:4" ht="12.75">
      <c r="A36" s="8" t="str">
        <f>'Soil-to-GroundWater'!A17</f>
        <v>AL_EC &gt;6-8</v>
      </c>
      <c r="B36" s="1633">
        <f>'Soil-to-GroundWater'!C17</f>
        <v>0.023664438265396676</v>
      </c>
      <c r="C36" s="1634">
        <f>'Soil-to-GroundWater'!AA17</f>
        <v>0.012107647621475152</v>
      </c>
      <c r="D36" s="1628">
        <f>'Soil-to-GroundWater'!AF17</f>
        <v>0.0005309505031092042</v>
      </c>
    </row>
    <row r="37" spans="1:4" ht="12.75">
      <c r="A37" s="8" t="str">
        <f>'Soil-to-GroundWater'!A18</f>
        <v>AL_EC &gt;8-10</v>
      </c>
      <c r="B37" s="1633">
        <f>'Soil-to-GroundWater'!C18</f>
        <v>0.04732887653079335</v>
      </c>
      <c r="C37" s="1634">
        <f>'Soil-to-GroundWater'!AA18</f>
        <v>0.0014850058596644117</v>
      </c>
      <c r="D37" s="1628">
        <f>'Soil-to-GroundWater'!AF18</f>
        <v>0.0036902016423288296</v>
      </c>
    </row>
    <row r="38" spans="1:4" ht="12.75">
      <c r="A38" s="8" t="str">
        <f>'Soil-to-GroundWater'!A19</f>
        <v>AL_EC &gt;10-12</v>
      </c>
      <c r="B38" s="1633">
        <f>'Soil-to-GroundWater'!C19</f>
        <v>0.06744364905638052</v>
      </c>
      <c r="C38" s="1634">
        <f>'Soil-to-GroundWater'!AA19</f>
        <v>0.00013598405646321569</v>
      </c>
      <c r="D38" s="1628">
        <f>'Soil-to-GroundWater'!AF19</f>
        <v>0.00033791690802115475</v>
      </c>
    </row>
    <row r="39" spans="1:4" ht="12.75">
      <c r="A39" s="8" t="str">
        <f>'Soil-to-GroundWater'!A20</f>
        <v>AL_EC &gt;12-16</v>
      </c>
      <c r="B39" s="1633">
        <f>'Soil-to-GroundWater'!C20</f>
        <v>0.14790273915872923</v>
      </c>
      <c r="C39" s="1634">
        <f>'Soil-to-GroundWater'!AA20</f>
        <v>5.333307410956117E-06</v>
      </c>
      <c r="D39" s="1628">
        <f>'Soil-to-GroundWater'!AF20</f>
        <v>6.626566366344971E-06</v>
      </c>
    </row>
    <row r="40" spans="1:4" ht="12.75">
      <c r="A40" s="8" t="str">
        <f>'Soil-to-GroundWater'!A21</f>
        <v>AL_EC &gt;16-21</v>
      </c>
      <c r="B40" s="1633">
        <f>'Soil-to-GroundWater'!C21</f>
        <v>0.35496657398095016</v>
      </c>
      <c r="C40" s="1634">
        <f>'Soil-to-GroundWater'!AA21</f>
        <v>1.621677015018594E-08</v>
      </c>
      <c r="D40" s="1628">
        <f>'Soil-to-GroundWater'!AF21</f>
        <v>3.022369480161964E-10</v>
      </c>
    </row>
    <row r="41" spans="1:4" ht="12.75">
      <c r="A41" s="8" t="str">
        <f>'Soil-to-GroundWater'!A22</f>
        <v>AL_EC &gt;21-34</v>
      </c>
      <c r="B41" s="1633">
        <f>'Soil-to-GroundWater'!C22</f>
        <v>0</v>
      </c>
      <c r="C41" s="1634">
        <f>'Soil-to-GroundWater'!AA22</f>
        <v>0</v>
      </c>
      <c r="D41" s="1628">
        <f>'Soil-to-GroundWater'!AF22</f>
        <v>0</v>
      </c>
    </row>
    <row r="42" spans="1:4" ht="12.75">
      <c r="A42" s="8" t="str">
        <f>'Soil-to-GroundWater'!A23</f>
        <v>AR_EC &gt;8-10</v>
      </c>
      <c r="B42" s="1633">
        <f>'Soil-to-GroundWater'!C23</f>
        <v>0.0011832219132698338</v>
      </c>
      <c r="C42" s="1634">
        <f>'Soil-to-GroundWater'!AA23</f>
        <v>0.006060883668528926</v>
      </c>
      <c r="D42" s="1628">
        <f>'Soil-to-GroundWater'!AF23</f>
        <v>0.004518342346330627</v>
      </c>
    </row>
    <row r="43" spans="1:4" ht="12.75">
      <c r="A43" s="8" t="str">
        <f>'Soil-to-GroundWater'!A24</f>
        <v>AR_EC &gt;10-12</v>
      </c>
      <c r="B43" s="1633">
        <f>'Soil-to-GroundWater'!C24</f>
        <v>0.02839732591847601</v>
      </c>
      <c r="C43" s="1634">
        <f>'Soil-to-GroundWater'!AA24</f>
        <v>0.05172849887918907</v>
      </c>
      <c r="D43" s="1628">
        <f>'Soil-to-GroundWater'!AF24</f>
        <v>0.1928159982772658</v>
      </c>
    </row>
    <row r="44" spans="1:4" ht="12.75">
      <c r="A44" s="8" t="str">
        <f>'Soil-to-GroundWater'!A25</f>
        <v>AR_EC &gt;12-16</v>
      </c>
      <c r="B44" s="1633">
        <f>'Soil-to-GroundWater'!C25</f>
        <v>0.06507720522984085</v>
      </c>
      <c r="C44" s="1634">
        <f>'Soil-to-GroundWater'!AA25</f>
        <v>0.023862782900750945</v>
      </c>
      <c r="D44" s="1628">
        <f>'Soil-to-GroundWater'!AF25</f>
        <v>0.017789521854975166</v>
      </c>
    </row>
    <row r="45" spans="1:4" ht="12.75">
      <c r="A45" s="8" t="str">
        <f>'Soil-to-GroundWater'!A26</f>
        <v>AR_EC &gt;16-21</v>
      </c>
      <c r="B45" s="1633">
        <f>'Soil-to-GroundWater'!C26</f>
        <v>0.1715671774241259</v>
      </c>
      <c r="C45" s="1634">
        <f>'Soil-to-GroundWater'!AA26</f>
        <v>0.004369711957618971</v>
      </c>
      <c r="D45" s="1628">
        <f>'Soil-to-GroundWater'!AF26</f>
        <v>0.0054293113180554995</v>
      </c>
    </row>
    <row r="46" spans="1:4" ht="12.75">
      <c r="A46" s="8" t="str">
        <f>'Soil-to-GroundWater'!A27</f>
        <v>AR_EC &gt;21-34</v>
      </c>
      <c r="B46" s="1633">
        <f>'Soil-to-GroundWater'!C27</f>
        <v>0</v>
      </c>
      <c r="C46" s="1634">
        <f>'Soil-to-GroundWater'!AA27</f>
        <v>0</v>
      </c>
      <c r="D46" s="1628">
        <f>'Soil-to-GroundWater'!AF27</f>
        <v>0</v>
      </c>
    </row>
    <row r="47" spans="1:4" ht="12.75">
      <c r="A47" s="8" t="str">
        <f>'Soil-to-GroundWater'!A28</f>
        <v>Benzene</v>
      </c>
      <c r="B47" s="1633">
        <f>'Soil-to-GroundWater'!C28</f>
        <v>3.549665739809501E-05</v>
      </c>
      <c r="C47" s="1634">
        <f>'Soil-to-GroundWater'!AA28</f>
        <v>0.007390642124332905</v>
      </c>
      <c r="D47" s="1628">
        <f>'Soil-to-GroundWater'!AF28</f>
        <v>0.13774167721756256</v>
      </c>
    </row>
    <row r="48" spans="1:4" ht="12.75">
      <c r="A48" s="8" t="str">
        <f>'Soil-to-GroundWater'!A29</f>
        <v>Toluene</v>
      </c>
      <c r="B48" s="1633">
        <f>'Soil-to-GroundWater'!C29</f>
        <v>0.005916109566349169</v>
      </c>
      <c r="C48" s="1634">
        <f>'Soil-to-GroundWater'!AA29</f>
        <v>0.3186276645131459</v>
      </c>
      <c r="D48" s="1628">
        <f>'Soil-to-GroundWater'!AF29</f>
        <v>0.29691810386446627</v>
      </c>
    </row>
    <row r="49" spans="1:4" ht="12.75">
      <c r="A49" s="8" t="str">
        <f>'Soil-to-GroundWater'!A30</f>
        <v>Ethylbenzene</v>
      </c>
      <c r="B49" s="1633">
        <f>'Soil-to-GroundWater'!C30</f>
        <v>0.008282553392888836</v>
      </c>
      <c r="C49" s="1634">
        <f>'Soil-to-GroundWater'!AA30</f>
        <v>0.12500993098486748</v>
      </c>
      <c r="D49" s="1628">
        <f>'Soil-to-GroundWater'!AF30</f>
        <v>0.0931939459280021</v>
      </c>
    </row>
    <row r="50" spans="1:4" ht="12.75">
      <c r="A50" s="8" t="str">
        <f>'Soil-to-GroundWater'!A31</f>
        <v>Total Xylenes</v>
      </c>
      <c r="B50" s="1633">
        <f>'Soil-to-GroundWater'!C31</f>
        <v>0.015381884872507839</v>
      </c>
      <c r="C50" s="1634">
        <f>'Soil-to-GroundWater'!AA31</f>
        <v>0.23486786123220885</v>
      </c>
      <c r="D50" s="1628">
        <f>'Soil-to-GroundWater'!AF31</f>
        <v>0.08754609568798803</v>
      </c>
    </row>
    <row r="51" spans="1:4" ht="12.75">
      <c r="A51" s="8" t="str">
        <f>'Soil-to-GroundWater'!A32</f>
        <v>Naphthalene</v>
      </c>
      <c r="B51" s="1633">
        <f>'Soil-to-GroundWater'!C32</f>
        <v>0.017748328699047508</v>
      </c>
      <c r="C51" s="1634">
        <f>'Soil-to-GroundWater'!AA32</f>
        <v>0.04074308900884369</v>
      </c>
      <c r="D51" s="1628">
        <f>'Soil-to-GroundWater'!AF32</f>
        <v>0.15186830374658739</v>
      </c>
    </row>
    <row r="52" spans="1:4" ht="12.75">
      <c r="A52" s="8" t="str">
        <f>'Soil-to-GroundWater'!A33</f>
        <v>1-Methyl Naphthalene</v>
      </c>
      <c r="B52" s="1633">
        <f>'Soil-to-GroundWater'!C33</f>
        <v>0</v>
      </c>
      <c r="C52" s="1634">
        <f>'Soil-to-GroundWater'!AA33</f>
        <v>0</v>
      </c>
      <c r="D52" s="1628">
        <f>'Soil-to-GroundWater'!AF33</f>
        <v>0</v>
      </c>
    </row>
    <row r="53" spans="1:4" ht="12.75">
      <c r="A53" s="8" t="str">
        <f>'Soil-to-GroundWater'!A34</f>
        <v>2-Methyl Naphthalene</v>
      </c>
      <c r="B53" s="1633">
        <f>'Soil-to-GroundWater'!C34</f>
        <v>0</v>
      </c>
      <c r="C53" s="1634">
        <f>'Soil-to-GroundWater'!AA34</f>
        <v>0</v>
      </c>
      <c r="D53" s="1628">
        <f>'Soil-to-GroundWater'!AF34</f>
        <v>0</v>
      </c>
    </row>
    <row r="54" spans="1:4" ht="12.75">
      <c r="A54" s="8" t="str">
        <f>'Soil-to-GroundWater'!A35</f>
        <v>n-Hexane</v>
      </c>
      <c r="B54" s="1633">
        <f>'Soil-to-GroundWater'!C35</f>
        <v>0</v>
      </c>
      <c r="C54" s="1634">
        <f>'Soil-to-GroundWater'!AA35</f>
        <v>0</v>
      </c>
      <c r="D54" s="1628">
        <f>'Soil-to-GroundWater'!AF35</f>
        <v>0</v>
      </c>
    </row>
    <row r="55" spans="1:4" ht="12.75">
      <c r="A55" s="8" t="str">
        <f>'Soil-to-GroundWater'!A36</f>
        <v>MTBE</v>
      </c>
      <c r="B55" s="1633">
        <f>'Soil-to-GroundWater'!C36</f>
        <v>0</v>
      </c>
      <c r="C55" s="1634">
        <f>'Soil-to-GroundWater'!AA36</f>
        <v>0</v>
      </c>
      <c r="D55" s="1628">
        <f>'Soil-to-GroundWater'!AF36</f>
        <v>0</v>
      </c>
    </row>
    <row r="56" spans="1:4" ht="12.75">
      <c r="A56" s="8" t="str">
        <f>'Soil-to-GroundWater'!A37</f>
        <v>Ethylene Dibromide (EDB)</v>
      </c>
      <c r="B56" s="1633">
        <f>'Soil-to-GroundWater'!C37</f>
        <v>0</v>
      </c>
      <c r="C56" s="1634">
        <f>'Soil-to-GroundWater'!AA37</f>
        <v>0</v>
      </c>
      <c r="D56" s="1628">
        <f>'Soil-to-GroundWater'!AF37</f>
        <v>0</v>
      </c>
    </row>
    <row r="57" spans="1:4" ht="12.75">
      <c r="A57" s="8" t="str">
        <f>'Soil-to-GroundWater'!A38</f>
        <v>1,2 Dichloroethane (EDC)</v>
      </c>
      <c r="B57" s="1633">
        <f>'Soil-to-GroundWater'!C38</f>
        <v>0</v>
      </c>
      <c r="C57" s="1634">
        <f>'Soil-to-GroundWater'!AA38</f>
        <v>0</v>
      </c>
      <c r="D57" s="1628">
        <f>'Soil-to-GroundWater'!AF38</f>
        <v>0</v>
      </c>
    </row>
    <row r="58" spans="1:4" ht="12.75">
      <c r="A58" s="8" t="str">
        <f>'Soil-to-GroundWater'!A39</f>
        <v>Benzo(a)anthracene</v>
      </c>
      <c r="B58" s="1633">
        <f>'Soil-to-GroundWater'!C39</f>
        <v>0</v>
      </c>
      <c r="C58" s="1634">
        <f>'Soil-to-GroundWater'!AA39</f>
        <v>0</v>
      </c>
      <c r="D58" s="1628">
        <f>'Soil-to-GroundWater'!AF39</f>
        <v>0</v>
      </c>
    </row>
    <row r="59" spans="1:4" ht="12.75">
      <c r="A59" s="8" t="str">
        <f>'Soil-to-GroundWater'!A40</f>
        <v>Benzo(b)fluoranthene</v>
      </c>
      <c r="B59" s="1633">
        <f>'Soil-to-GroundWater'!C40</f>
        <v>0</v>
      </c>
      <c r="C59" s="1634">
        <f>'Soil-to-GroundWater'!AA40</f>
        <v>0</v>
      </c>
      <c r="D59" s="1628">
        <f>'Soil-to-GroundWater'!AF40</f>
        <v>0</v>
      </c>
    </row>
    <row r="60" spans="1:4" ht="12.75">
      <c r="A60" s="8" t="str">
        <f>'Soil-to-GroundWater'!A41</f>
        <v>Benzo(k)fluoranthene</v>
      </c>
      <c r="B60" s="1633">
        <f>'Soil-to-GroundWater'!C41</f>
        <v>0.0011832219132698338</v>
      </c>
      <c r="C60" s="1634">
        <f>'Soil-to-GroundWater'!AA41</f>
        <v>3.5604235763044507E-08</v>
      </c>
      <c r="D60" s="1628">
        <f>'Soil-to-GroundWater'!AF41</f>
        <v>0</v>
      </c>
    </row>
    <row r="61" spans="1:4" ht="12.75">
      <c r="A61" s="8" t="str">
        <f>'Soil-to-GroundWater'!A42</f>
        <v>Benzo(a)pyrene</v>
      </c>
      <c r="B61" s="1633">
        <f>'Soil-to-GroundWater'!C42</f>
        <v>8.282553392888837E-05</v>
      </c>
      <c r="C61" s="1634">
        <f>'Soil-to-GroundWater'!AA42</f>
        <v>5.046858491928592E-09</v>
      </c>
      <c r="D61" s="1628">
        <f>'Soil-to-GroundWater'!AF42</f>
        <v>0</v>
      </c>
    </row>
    <row r="62" spans="1:4" ht="12.75">
      <c r="A62" s="8" t="str">
        <f>'Soil-to-GroundWater'!A43</f>
        <v>Chrysene</v>
      </c>
      <c r="B62" s="1633">
        <f>'Soil-to-GroundWater'!C43</f>
        <v>0.0011832219132698338</v>
      </c>
      <c r="C62" s="1634">
        <f>'Soil-to-GroundWater'!AA43</f>
        <v>7.869456307314605E-08</v>
      </c>
      <c r="D62" s="1628">
        <f>'Soil-to-GroundWater'!AF43</f>
        <v>0</v>
      </c>
    </row>
    <row r="63" spans="1:4" ht="12.75">
      <c r="A63" s="8" t="str">
        <f>'Soil-to-GroundWater'!A44</f>
        <v>Dibenz(a,h)anthracene</v>
      </c>
      <c r="B63" s="1633">
        <f>'Soil-to-GroundWater'!C44</f>
        <v>5.9161095663491693E-05</v>
      </c>
      <c r="C63" s="1634">
        <f>'Soil-to-GroundWater'!AA44</f>
        <v>5.0284558113333274E-09</v>
      </c>
      <c r="D63" s="1628">
        <f>'Soil-to-GroundWater'!AF44</f>
        <v>0</v>
      </c>
    </row>
    <row r="64" spans="1:4" ht="12.75">
      <c r="A64" s="8" t="str">
        <f>'Soil-to-GroundWater'!A45</f>
        <v>Indeno(1,2,3-cd)pyrene</v>
      </c>
      <c r="B64" s="1633">
        <f>'Soil-to-GroundWater'!C45</f>
        <v>0.0011832219132698338</v>
      </c>
      <c r="C64" s="1634">
        <f>'Soil-to-GroundWater'!AA45</f>
        <v>8.940799625081994E-10</v>
      </c>
      <c r="D64" s="1628">
        <f>'Soil-to-GroundWater'!AF45</f>
        <v>0</v>
      </c>
    </row>
    <row r="65" spans="1:4" ht="13.5" thickBot="1">
      <c r="A65" s="1635" t="str">
        <f>'Soil-to-GroundWater'!A46</f>
        <v>Sum</v>
      </c>
      <c r="B65" s="1636">
        <f>SUM(B35:B64)</f>
        <v>0.9999999999999999</v>
      </c>
      <c r="C65" s="1637">
        <f>SUM(C35:C64)</f>
        <v>0.9999999999999999</v>
      </c>
      <c r="D65" s="1638">
        <f>SUM(D35:D64)</f>
        <v>0.9999999999999998</v>
      </c>
    </row>
    <row r="66" ht="13.5" thickTop="1"/>
  </sheetData>
  <sheetProtection/>
  <printOptions/>
  <pageMargins left="0.33" right="0.75" top="0.7" bottom="1" header="0.5" footer="0.5"/>
  <pageSetup blackAndWhite="1" fitToHeight="1" fitToWidth="1" horizontalDpi="300" verticalDpi="300" orientation="landscape" r:id="rId3"/>
  <drawing r:id="rId2"/>
  <legacyDrawing r:id="rId1"/>
</worksheet>
</file>

<file path=xl/worksheets/sheet29.xml><?xml version="1.0" encoding="utf-8"?>
<worksheet xmlns="http://schemas.openxmlformats.org/spreadsheetml/2006/main" xmlns:r="http://schemas.openxmlformats.org/officeDocument/2006/relationships">
  <sheetPr codeName="Sheet6"/>
  <dimension ref="A1:G53"/>
  <sheetViews>
    <sheetView showGridLines="0" showRowColHeaders="0" zoomScale="76" zoomScaleNormal="76" zoomScalePageLayoutView="0" workbookViewId="0" topLeftCell="A1">
      <selection activeCell="E5" sqref="E5"/>
    </sheetView>
  </sheetViews>
  <sheetFormatPr defaultColWidth="9.140625" defaultRowHeight="12.75"/>
  <cols>
    <col min="1" max="1" width="6.00390625" style="0" customWidth="1"/>
    <col min="2" max="2" width="14.57421875" style="0" customWidth="1"/>
    <col min="3" max="3" width="14.8515625" style="0" customWidth="1"/>
    <col min="4" max="6" width="12.28125" style="0" customWidth="1"/>
    <col min="7" max="7" width="10.28125" style="0" bestFit="1" customWidth="1"/>
  </cols>
  <sheetData>
    <row r="1" spans="6:7" ht="12.75">
      <c r="F1" s="268" t="str">
        <f>MainForm!B3</f>
        <v>Date:</v>
      </c>
      <c r="G1" s="263">
        <f>MainForm!C3</f>
        <v>38822</v>
      </c>
    </row>
    <row r="2" spans="4:7" ht="15">
      <c r="D2" s="265" t="s">
        <v>342</v>
      </c>
      <c r="E2" s="398">
        <f>ini</f>
        <v>50000.00000000021</v>
      </c>
      <c r="F2" s="268" t="str">
        <f>MainForm!B4</f>
        <v>Site Name:</v>
      </c>
      <c r="G2" s="264" t="str">
        <f>MainForm!C4</f>
        <v>ooo</v>
      </c>
    </row>
    <row r="3" spans="6:7" ht="12.75">
      <c r="F3" s="268" t="str">
        <f>MainForm!B5</f>
        <v>Sample Name:</v>
      </c>
      <c r="G3" s="264">
        <f>MainForm!C5</f>
        <v>0</v>
      </c>
    </row>
    <row r="5" ht="15.75" customHeight="1"/>
    <row r="13" ht="76.5" customHeight="1"/>
    <row r="15" ht="46.5" customHeight="1"/>
    <row r="16" ht="46.5" customHeight="1"/>
    <row r="17" ht="71.25" customHeight="1"/>
    <row r="18" ht="80.25" customHeight="1"/>
    <row r="19" ht="80.25" customHeight="1" hidden="1"/>
    <row r="20" ht="80.25" customHeight="1"/>
    <row r="21" ht="146.25" customHeight="1"/>
    <row r="22" spans="1:7" ht="18" thickBot="1">
      <c r="A22" s="35"/>
      <c r="B22" s="1623"/>
      <c r="C22" s="1624" t="s">
        <v>105</v>
      </c>
      <c r="D22" s="1625" t="s">
        <v>106</v>
      </c>
      <c r="E22" s="1625" t="s">
        <v>347</v>
      </c>
      <c r="F22" s="1626" t="s">
        <v>82</v>
      </c>
      <c r="G22" s="35" t="s">
        <v>22</v>
      </c>
    </row>
    <row r="23" spans="1:7" ht="18" thickTop="1">
      <c r="A23" s="35"/>
      <c r="B23" s="1063" t="str">
        <f>'Soil-to-GroundWater'!A16</f>
        <v>AL_EC &gt;5-6</v>
      </c>
      <c r="C23" s="1627">
        <f>'Soil-to-GroundWater'!AK16</f>
        <v>0.0003172203844430497</v>
      </c>
      <c r="D23" s="1627">
        <f>'Soil-to-GroundWater'!AL16</f>
        <v>0.0014089861311130626</v>
      </c>
      <c r="E23" s="1627">
        <f>'Soil-to-GroundWater'!AM16</f>
        <v>0.001268881537772199</v>
      </c>
      <c r="F23" s="1627">
        <f>'Soil-to-GroundWater'!AN16</f>
        <v>0.9970049119466717</v>
      </c>
      <c r="G23" s="1628">
        <f>SUM(C23:F23)</f>
        <v>1</v>
      </c>
    </row>
    <row r="24" spans="1:7" ht="18">
      <c r="A24" s="35"/>
      <c r="B24" s="1063" t="str">
        <f>'Soil-to-GroundWater'!A17</f>
        <v>AL_EC &gt;6-8</v>
      </c>
      <c r="C24" s="1627">
        <f>'Soil-to-GroundWater'!AK17</f>
        <v>3.8618156017761856E-05</v>
      </c>
      <c r="D24" s="1627">
        <f>'Soil-to-GroundWater'!AL17</f>
        <v>0.0002598921897961769</v>
      </c>
      <c r="E24" s="1627">
        <f>'Soil-to-GroundWater'!AM17</f>
        <v>0.0007337449643374754</v>
      </c>
      <c r="F24" s="1627">
        <f>'Soil-to-GroundWater'!AN17</f>
        <v>0.9989677446898486</v>
      </c>
      <c r="G24" s="1628">
        <f aca="true" t="shared" si="0" ref="G24:G46">SUM(C24:F24)</f>
        <v>1</v>
      </c>
    </row>
    <row r="25" spans="1:7" ht="18">
      <c r="A25" s="35"/>
      <c r="B25" s="1063" t="str">
        <f>'Soil-to-GroundWater'!A18</f>
        <v>AL_EC &gt;8-10</v>
      </c>
      <c r="C25" s="1627">
        <f>'Soil-to-GroundWater'!AK18</f>
        <v>2.3670315953424464E-06</v>
      </c>
      <c r="D25" s="1627">
        <f>'Soil-to-GroundWater'!AL18</f>
        <v>2.5487411645334757E-05</v>
      </c>
      <c r="E25" s="1627">
        <f>'Soil-to-GroundWater'!AM18</f>
        <v>0.00035742177089670944</v>
      </c>
      <c r="F25" s="1627">
        <f>'Soil-to-GroundWater'!AN18</f>
        <v>0.9996147237858627</v>
      </c>
      <c r="G25" s="1628">
        <f t="shared" si="0"/>
        <v>1</v>
      </c>
    </row>
    <row r="26" spans="1:7" ht="18">
      <c r="A26" s="35"/>
      <c r="B26" s="1063" t="str">
        <f>'Soil-to-GroundWater'!A19</f>
        <v>AL_EC &gt;10-12</v>
      </c>
      <c r="C26" s="1627">
        <f>'Soil-to-GroundWater'!AK19</f>
        <v>1.5209916025460637E-07</v>
      </c>
      <c r="D26" s="1627">
        <f>'Soil-to-GroundWater'!AL19</f>
        <v>2.4566300145381346E-06</v>
      </c>
      <c r="E26" s="1627">
        <f>'Soil-to-GroundWater'!AM19</f>
        <v>0.00017795601749788945</v>
      </c>
      <c r="F26" s="1627">
        <f>'Soil-to-GroundWater'!AN19</f>
        <v>0.9998194352533273</v>
      </c>
      <c r="G26" s="1628">
        <f t="shared" si="0"/>
        <v>1</v>
      </c>
    </row>
    <row r="27" spans="1:7" ht="18">
      <c r="A27" s="35"/>
      <c r="B27" s="1063" t="str">
        <f>'Soil-to-GroundWater'!A20</f>
        <v>AL_EC &gt;12-16</v>
      </c>
      <c r="C27" s="1627">
        <f>'Soil-to-GroundWater'!AK20</f>
        <v>2.7201828572088415E-09</v>
      </c>
      <c r="D27" s="1627">
        <f>'Soil-to-GroundWater'!AL20</f>
        <v>1.9038517795725629E-07</v>
      </c>
      <c r="E27" s="1627">
        <f>'Soil-to-GroundWater'!AM20</f>
        <v>7.303690971605739E-05</v>
      </c>
      <c r="F27" s="1627">
        <f>'Soil-to-GroundWater'!AN20</f>
        <v>0.999926769984923</v>
      </c>
      <c r="G27" s="1628">
        <f t="shared" si="0"/>
        <v>0.9999999999999999</v>
      </c>
    </row>
    <row r="28" spans="1:7" ht="18">
      <c r="A28" s="35"/>
      <c r="B28" s="1063" t="str">
        <f>'Soil-to-GroundWater'!A21</f>
        <v>AL_EC &gt;16-21</v>
      </c>
      <c r="C28" s="1627">
        <f>'Soil-to-GroundWater'!AK21</f>
        <v>3.4463106368594234E-12</v>
      </c>
      <c r="D28" s="1627">
        <f>'Soil-to-GroundWater'!AL21</f>
        <v>2.2729097509599275E-09</v>
      </c>
      <c r="E28" s="1627">
        <f>'Soil-to-GroundWater'!AM21</f>
        <v>0.00016456133291003748</v>
      </c>
      <c r="F28" s="1627">
        <f>'Soil-to-GroundWater'!AN21</f>
        <v>0.9998354363907339</v>
      </c>
      <c r="G28" s="1628">
        <f t="shared" si="0"/>
        <v>1</v>
      </c>
    </row>
    <row r="29" spans="1:7" ht="18">
      <c r="A29" s="35"/>
      <c r="B29" s="1063" t="str">
        <f>'Soil-to-GroundWater'!A22</f>
        <v>AL_EC &gt;21-34</v>
      </c>
      <c r="C29" s="1627">
        <f>'Soil-to-GroundWater'!AK22</f>
        <v>0</v>
      </c>
      <c r="D29" s="1627">
        <f>'Soil-to-GroundWater'!AL22</f>
        <v>0</v>
      </c>
      <c r="E29" s="1627">
        <f>'Soil-to-GroundWater'!AM22</f>
        <v>0</v>
      </c>
      <c r="F29" s="1627">
        <f>'Soil-to-GroundWater'!AN22</f>
        <v>0</v>
      </c>
      <c r="G29" s="1628">
        <f t="shared" si="0"/>
        <v>0</v>
      </c>
    </row>
    <row r="30" spans="1:7" ht="18">
      <c r="A30" s="35"/>
      <c r="B30" s="1063" t="str">
        <f>'Soil-to-GroundWater'!A23</f>
        <v>AR_EC &gt;8-10</v>
      </c>
      <c r="C30" s="1627">
        <f>'Soil-to-GroundWater'!AK23</f>
        <v>0.0003864304355528035</v>
      </c>
      <c r="D30" s="1627">
        <f>'Soil-to-GroundWater'!AL23</f>
        <v>2.4965729065721408E-05</v>
      </c>
      <c r="E30" s="1627">
        <f>'Soil-to-GroundWater'!AM23</f>
        <v>0.003052800440867148</v>
      </c>
      <c r="F30" s="1627">
        <f>'Soil-to-GroundWater'!AN23</f>
        <v>0.9965358033945144</v>
      </c>
      <c r="G30" s="1628">
        <f t="shared" si="0"/>
        <v>1</v>
      </c>
    </row>
    <row r="31" spans="1:7" ht="18">
      <c r="A31" s="35"/>
      <c r="B31" s="1063" t="str">
        <f>'Soil-to-GroundWater'!A24</f>
        <v>AR_EC &gt;10-12</v>
      </c>
      <c r="C31" s="1627">
        <f>'Soil-to-GroundWater'!AK24</f>
        <v>0.00013741446194192775</v>
      </c>
      <c r="D31" s="1627">
        <f>'Soil-to-GroundWater'!AL24</f>
        <v>2.589358413190703E-06</v>
      </c>
      <c r="E31" s="1627">
        <f>'Soil-to-GroundWater'!AM24</f>
        <v>0.0017245514973711932</v>
      </c>
      <c r="F31" s="1627">
        <f>'Soil-to-GroundWater'!AN24</f>
        <v>0.9981354446822738</v>
      </c>
      <c r="G31" s="1628">
        <f t="shared" si="0"/>
        <v>1</v>
      </c>
    </row>
    <row r="32" spans="1:7" ht="18">
      <c r="A32" s="35"/>
      <c r="B32" s="1063" t="str">
        <f>'Soil-to-GroundWater'!A25</f>
        <v>AR_EC &gt;12-16</v>
      </c>
      <c r="C32" s="1627">
        <f>'Soil-to-GroundWater'!AK25</f>
        <v>2.7661129035519955E-05</v>
      </c>
      <c r="D32" s="1627">
        <f>'Soil-to-GroundWater'!AL25</f>
        <v>1.973228881671E-07</v>
      </c>
      <c r="E32" s="1627">
        <f>'Soil-to-GroundWater'!AM25</f>
        <v>0.000692911282339775</v>
      </c>
      <c r="F32" s="1627">
        <f>'Soil-to-GroundWater'!AN25</f>
        <v>0.9992792302657365</v>
      </c>
      <c r="G32" s="1628">
        <f t="shared" si="0"/>
        <v>1</v>
      </c>
    </row>
    <row r="33" spans="1:7" ht="18">
      <c r="A33" s="35"/>
      <c r="B33" s="1063" t="str">
        <f>'Soil-to-GroundWater'!A26</f>
        <v>AR_EC &gt;16-21</v>
      </c>
      <c r="C33" s="1627">
        <f>'Soil-to-GroundWater'!AK26</f>
        <v>1.9213041590831237E-06</v>
      </c>
      <c r="D33" s="1627">
        <f>'Soil-to-GroundWater'!AL26</f>
        <v>3.361794532191755E-09</v>
      </c>
      <c r="E33" s="1627">
        <f>'Soil-to-GroundWater'!AM26</f>
        <v>0.0001517830285675668</v>
      </c>
      <c r="F33" s="1627">
        <f>'Soil-to-GroundWater'!AN26</f>
        <v>0.9998462923054787</v>
      </c>
      <c r="G33" s="1628">
        <f t="shared" si="0"/>
        <v>0.9999999999999999</v>
      </c>
    </row>
    <row r="34" spans="1:7" ht="18">
      <c r="A34" s="35"/>
      <c r="B34" s="1063" t="str">
        <f>'Soil-to-GroundWater'!A27</f>
        <v>AR_EC &gt;21-34</v>
      </c>
      <c r="C34" s="1627">
        <f>'Soil-to-GroundWater'!AK27</f>
        <v>0</v>
      </c>
      <c r="D34" s="1627">
        <f>'Soil-to-GroundWater'!AL27</f>
        <v>0</v>
      </c>
      <c r="E34" s="1627">
        <f>'Soil-to-GroundWater'!AM27</f>
        <v>0</v>
      </c>
      <c r="F34" s="1627">
        <f>'Soil-to-GroundWater'!AN27</f>
        <v>0</v>
      </c>
      <c r="G34" s="1628">
        <f t="shared" si="0"/>
        <v>0</v>
      </c>
    </row>
    <row r="35" spans="1:7" ht="18">
      <c r="A35" s="35"/>
      <c r="B35" s="1063" t="str">
        <f>'Soil-to-GroundWater'!A28</f>
        <v>Benzene</v>
      </c>
      <c r="C35" s="1627">
        <f>'Soil-to-GroundWater'!AK28</f>
        <v>0.015723060328075522</v>
      </c>
      <c r="D35" s="1627">
        <f>'Soil-to-GroundWater'!AL28</f>
        <v>0.00048250700089076426</v>
      </c>
      <c r="E35" s="1627">
        <f>'Soil-to-GroundWater'!AM28</f>
        <v>0.004874148701703412</v>
      </c>
      <c r="F35" s="1627">
        <f>'Soil-to-GroundWater'!AN28</f>
        <v>0.9789202839693303</v>
      </c>
      <c r="G35" s="1628">
        <f t="shared" si="0"/>
        <v>1</v>
      </c>
    </row>
    <row r="36" spans="1:7" ht="18">
      <c r="A36" s="35"/>
      <c r="B36" s="1063" t="str">
        <f>'Soil-to-GroundWater'!A29</f>
        <v>Toluene</v>
      </c>
      <c r="C36" s="1627">
        <f>'Soil-to-GroundWater'!AK29</f>
        <v>0.004064135550431262</v>
      </c>
      <c r="D36" s="1627">
        <f>'Soil-to-GroundWater'!AL29</f>
        <v>0.00014878829934688833</v>
      </c>
      <c r="E36" s="1627">
        <f>'Soil-to-GroundWater'!AM29</f>
        <v>0.0028448948853018836</v>
      </c>
      <c r="F36" s="1627">
        <f>'Soil-to-GroundWater'!AN29</f>
        <v>0.99294218126492</v>
      </c>
      <c r="G36" s="1628">
        <f t="shared" si="0"/>
        <v>1</v>
      </c>
    </row>
    <row r="37" spans="1:7" ht="18">
      <c r="A37" s="35"/>
      <c r="B37" s="1063" t="str">
        <f>'Soil-to-GroundWater'!A30</f>
        <v>Ethylbenzene</v>
      </c>
      <c r="C37" s="1627">
        <f>'Soil-to-GroundWater'!AK30</f>
        <v>0.0011386899890654916</v>
      </c>
      <c r="D37" s="1627">
        <f>'Soil-to-GroundWater'!AL30</f>
        <v>4.950393435803431E-05</v>
      </c>
      <c r="E37" s="1627">
        <f>'Soil-to-GroundWater'!AM30</f>
        <v>0.0011614637888468016</v>
      </c>
      <c r="F37" s="1627">
        <f>'Soil-to-GroundWater'!AN30</f>
        <v>0.9976503422877296</v>
      </c>
      <c r="G37" s="1628">
        <f t="shared" si="0"/>
        <v>1</v>
      </c>
    </row>
    <row r="38" spans="1:7" ht="18">
      <c r="A38" s="35"/>
      <c r="B38" s="1063" t="str">
        <f>'Soil-to-GroundWater'!A31</f>
        <v>Total Xylenes</v>
      </c>
      <c r="C38" s="1627">
        <f>'Soil-to-GroundWater'!AK31</f>
        <v>0.0011519489894120172</v>
      </c>
      <c r="D38" s="1627">
        <f>'Soil-to-GroundWater'!AL31</f>
        <v>4.3258269569313376E-05</v>
      </c>
      <c r="E38" s="1627">
        <f>'Soil-to-GroundWater'!AM31</f>
        <v>0.001342020572665</v>
      </c>
      <c r="F38" s="1627">
        <f>'Soil-to-GroundWater'!AN31</f>
        <v>0.9974627721683538</v>
      </c>
      <c r="G38" s="1628">
        <f t="shared" si="0"/>
        <v>1</v>
      </c>
    </row>
    <row r="39" spans="1:7" ht="18">
      <c r="A39" s="35"/>
      <c r="B39" s="1063" t="str">
        <f>'Soil-to-GroundWater'!A32</f>
        <v>Naphthalene</v>
      </c>
      <c r="C39" s="1627">
        <f>'Soil-to-GroundWater'!AK32</f>
        <v>0.0001731707150647779</v>
      </c>
      <c r="D39" s="1627">
        <f>'Soil-to-GroundWater'!AL32</f>
        <v>4.614996030654041E-07</v>
      </c>
      <c r="E39" s="1627">
        <f>'Soil-to-GroundWater'!AM32</f>
        <v>0.0010312316082107522</v>
      </c>
      <c r="F39" s="1627">
        <f>'Soil-to-GroundWater'!AN32</f>
        <v>0.9987951361771213</v>
      </c>
      <c r="G39" s="1628">
        <f t="shared" si="0"/>
        <v>0.9999999999999999</v>
      </c>
    </row>
    <row r="40" spans="1:7" ht="18">
      <c r="A40" s="35"/>
      <c r="B40" s="1063" t="str">
        <f>'Soil-to-GroundWater'!A33</f>
        <v>1-Methyl Naphthalene</v>
      </c>
      <c r="C40" s="1627">
        <f>'Soil-to-GroundWater'!AK33</f>
        <v>0</v>
      </c>
      <c r="D40" s="1627">
        <f>'Soil-to-GroundWater'!AL33</f>
        <v>0</v>
      </c>
      <c r="E40" s="1627">
        <f>'Soil-to-GroundWater'!AM33</f>
        <v>0</v>
      </c>
      <c r="F40" s="1627">
        <f>'Soil-to-GroundWater'!AN33</f>
        <v>0</v>
      </c>
      <c r="G40" s="1628">
        <f t="shared" si="0"/>
        <v>0</v>
      </c>
    </row>
    <row r="41" spans="1:7" ht="18">
      <c r="A41" s="35"/>
      <c r="B41" s="1063" t="str">
        <f>'Soil-to-GroundWater'!A34</f>
        <v>2-Methyl Naphthalene</v>
      </c>
      <c r="C41" s="1627">
        <f>'Soil-to-GroundWater'!AK34</f>
        <v>0</v>
      </c>
      <c r="D41" s="1627">
        <f>'Soil-to-GroundWater'!AL34</f>
        <v>0</v>
      </c>
      <c r="E41" s="1627">
        <f>'Soil-to-GroundWater'!AM34</f>
        <v>0</v>
      </c>
      <c r="F41" s="1627">
        <f>'Soil-to-GroundWater'!AN34</f>
        <v>0</v>
      </c>
      <c r="G41" s="1628">
        <f t="shared" si="0"/>
        <v>0</v>
      </c>
    </row>
    <row r="42" spans="1:7" ht="18">
      <c r="A42" s="35"/>
      <c r="B42" s="1063" t="str">
        <f>'Soil-to-GroundWater'!A35</f>
        <v>n-Hexane</v>
      </c>
      <c r="C42" s="1627">
        <f>'Soil-to-GroundWater'!AK35</f>
        <v>0</v>
      </c>
      <c r="D42" s="1627">
        <f>'Soil-to-GroundWater'!AL35</f>
        <v>0</v>
      </c>
      <c r="E42" s="1627">
        <f>'Soil-to-GroundWater'!AM35</f>
        <v>0</v>
      </c>
      <c r="F42" s="1627">
        <f>'Soil-to-GroundWater'!AN35</f>
        <v>0</v>
      </c>
      <c r="G42" s="1628">
        <f t="shared" si="0"/>
        <v>0</v>
      </c>
    </row>
    <row r="43" spans="1:7" ht="18">
      <c r="A43" s="35"/>
      <c r="B43" s="1063" t="str">
        <f>'Soil-to-GroundWater'!A36</f>
        <v>MTBE</v>
      </c>
      <c r="C43" s="1627">
        <f>'Soil-to-GroundWater'!AK36</f>
        <v>0</v>
      </c>
      <c r="D43" s="1627">
        <f>'Soil-to-GroundWater'!AL36</f>
        <v>0</v>
      </c>
      <c r="E43" s="1627">
        <f>'Soil-to-GroundWater'!AM36</f>
        <v>0</v>
      </c>
      <c r="F43" s="1627">
        <f>'Soil-to-GroundWater'!AN36</f>
        <v>0</v>
      </c>
      <c r="G43" s="1628">
        <f t="shared" si="0"/>
        <v>0</v>
      </c>
    </row>
    <row r="44" spans="1:7" ht="18">
      <c r="A44" s="35"/>
      <c r="B44" s="1063" t="str">
        <f>'Soil-to-GroundWater'!A37</f>
        <v>Ethylene Dibromide (EDB)</v>
      </c>
      <c r="C44" s="1627">
        <f>'Soil-to-GroundWater'!AK37</f>
        <v>0</v>
      </c>
      <c r="D44" s="1627">
        <f>'Soil-to-GroundWater'!AL37</f>
        <v>0</v>
      </c>
      <c r="E44" s="1627">
        <f>'Soil-to-GroundWater'!AM37</f>
        <v>0</v>
      </c>
      <c r="F44" s="1627">
        <f>'Soil-to-GroundWater'!AN37</f>
        <v>0</v>
      </c>
      <c r="G44" s="1628">
        <f t="shared" si="0"/>
        <v>0</v>
      </c>
    </row>
    <row r="45" spans="1:7" ht="18">
      <c r="A45" s="35"/>
      <c r="B45" s="1063" t="str">
        <f>'Soil-to-GroundWater'!A38</f>
        <v>1,2 Dichloroethane (EDC)</v>
      </c>
      <c r="C45" s="1627">
        <f>'Soil-to-GroundWater'!AK38</f>
        <v>0</v>
      </c>
      <c r="D45" s="1627">
        <f>'Soil-to-GroundWater'!AL38</f>
        <v>0</v>
      </c>
      <c r="E45" s="1627">
        <f>'Soil-to-GroundWater'!AM38</f>
        <v>0</v>
      </c>
      <c r="F45" s="1627">
        <f>'Soil-to-GroundWater'!AN38</f>
        <v>0</v>
      </c>
      <c r="G45" s="1628">
        <f t="shared" si="0"/>
        <v>0</v>
      </c>
    </row>
    <row r="46" spans="1:7" ht="18">
      <c r="A46" s="35"/>
      <c r="B46" s="1063" t="str">
        <f>'Soil-to-GroundWater'!A39</f>
        <v>Benzo(a)anthracene</v>
      </c>
      <c r="C46" s="1627">
        <f>'Soil-to-GroundWater'!AK39</f>
        <v>0</v>
      </c>
      <c r="D46" s="1627">
        <f>'Soil-to-GroundWater'!AL39</f>
        <v>0</v>
      </c>
      <c r="E46" s="1627">
        <f>'Soil-to-GroundWater'!AM39</f>
        <v>0</v>
      </c>
      <c r="F46" s="1627">
        <f>'Soil-to-GroundWater'!AN39</f>
        <v>0</v>
      </c>
      <c r="G46" s="1628">
        <f t="shared" si="0"/>
        <v>0</v>
      </c>
    </row>
    <row r="47" spans="1:7" ht="18">
      <c r="A47" s="35"/>
      <c r="B47" s="1063" t="str">
        <f>'Soil-to-GroundWater'!A40</f>
        <v>Benzo(b)fluoranthene</v>
      </c>
      <c r="C47" s="1627">
        <f>'Soil-to-GroundWater'!AK40</f>
        <v>0</v>
      </c>
      <c r="D47" s="1627">
        <f>'Soil-to-GroundWater'!AL40</f>
        <v>0</v>
      </c>
      <c r="E47" s="1627">
        <f>'Soil-to-GroundWater'!AM40</f>
        <v>0</v>
      </c>
      <c r="F47" s="1627">
        <f>'Soil-to-GroundWater'!AN40</f>
        <v>0</v>
      </c>
      <c r="G47" s="1628">
        <f>SUM(C47:F47)</f>
        <v>0</v>
      </c>
    </row>
    <row r="48" spans="1:7" ht="18">
      <c r="A48" s="35"/>
      <c r="B48" s="1063" t="str">
        <f>'Soil-to-GroundWater'!A41</f>
        <v>Benzo(k)fluoranthene</v>
      </c>
      <c r="C48" s="1627">
        <f>'Soil-to-GroundWater'!AK41</f>
        <v>2.2699326932314973E-09</v>
      </c>
      <c r="D48" s="1627">
        <f>'Soil-to-GroundWater'!AL41</f>
        <v>1.0387800211965662E-14</v>
      </c>
      <c r="E48" s="1627">
        <f>'Soil-to-GroundWater'!AM41</f>
        <v>1.3960086063373708E-05</v>
      </c>
      <c r="F48" s="1627">
        <f>'Soil-to-GroundWater'!AN41</f>
        <v>0.9999860376439936</v>
      </c>
      <c r="G48" s="1628">
        <f aca="true" t="shared" si="1" ref="G48:G53">SUM(C48:F48)</f>
        <v>1</v>
      </c>
    </row>
    <row r="49" spans="1:7" ht="18">
      <c r="A49" s="35"/>
      <c r="B49" s="1063" t="str">
        <f>'Soil-to-GroundWater'!A42</f>
        <v>Benzo(a)pyrene</v>
      </c>
      <c r="C49" s="1627">
        <f>'Soil-to-GroundWater'!AK42</f>
        <v>4.5965755170998086E-09</v>
      </c>
      <c r="D49" s="1627">
        <f>'Soil-to-GroundWater'!AL42</f>
        <v>2.864488492194674E-14</v>
      </c>
      <c r="E49" s="1627">
        <f>'Soil-to-GroundWater'!AM42</f>
        <v>2.2265214250014253E-05</v>
      </c>
      <c r="F49" s="1627">
        <f>'Soil-to-GroundWater'!AN42</f>
        <v>0.9999777301891458</v>
      </c>
      <c r="G49" s="1628">
        <f t="shared" si="1"/>
        <v>1</v>
      </c>
    </row>
    <row r="50" spans="1:7" ht="18">
      <c r="A50" s="35"/>
      <c r="B50" s="1063" t="str">
        <f>'Soil-to-GroundWater'!A43</f>
        <v>Chrysene</v>
      </c>
      <c r="C50" s="1627">
        <f>'Soil-to-GroundWater'!AK43</f>
        <v>5.017137923958695E-09</v>
      </c>
      <c r="D50" s="1627">
        <f>'Soil-to-GroundWater'!AL43</f>
        <v>2.620109592261904E-12</v>
      </c>
      <c r="E50" s="1627">
        <f>'Soil-to-GroundWater'!AM43</f>
        <v>9.984104468677803E-06</v>
      </c>
      <c r="F50" s="1627">
        <f>'Soil-to-GroundWater'!AN43</f>
        <v>0.9999900108757732</v>
      </c>
      <c r="G50" s="1628">
        <f t="shared" si="1"/>
        <v>0.9999999999999999</v>
      </c>
    </row>
    <row r="51" spans="1:7" ht="18">
      <c r="A51" s="35"/>
      <c r="B51" s="1063" t="str">
        <f>'Soil-to-GroundWater'!A44</f>
        <v>Dibenz(a,h)anthracene</v>
      </c>
      <c r="C51" s="1627">
        <f>'Soil-to-GroundWater'!AK44</f>
        <v>6.411740624671759E-09</v>
      </c>
      <c r="D51" s="1627">
        <f>'Soil-to-GroundWater'!AL44</f>
        <v>5.203852148106361E-16</v>
      </c>
      <c r="E51" s="1627">
        <f>'Soil-to-GroundWater'!AM44</f>
        <v>5.735625781670435E-05</v>
      </c>
      <c r="F51" s="1627">
        <f>'Soil-to-GroundWater'!AN44</f>
        <v>0.9999426373304421</v>
      </c>
      <c r="G51" s="1628">
        <f t="shared" si="1"/>
        <v>0.9999999999999999</v>
      </c>
    </row>
    <row r="52" spans="1:7" ht="18">
      <c r="A52" s="35"/>
      <c r="B52" s="1063" t="str">
        <f>'Soil-to-GroundWater'!A45</f>
        <v>Indeno(1,2,3-cd)pyrene</v>
      </c>
      <c r="C52" s="1627">
        <f>'Soil-to-GroundWater'!AK45</f>
        <v>5.700168234946455E-11</v>
      </c>
      <c r="D52" s="1627">
        <f>'Soil-to-GroundWater'!AL45</f>
        <v>5.032956819031935E-16</v>
      </c>
      <c r="E52" s="1627">
        <f>'Soil-to-GroundWater'!AM45</f>
        <v>9.8897918876321E-07</v>
      </c>
      <c r="F52" s="1627">
        <f>'Soil-to-GroundWater'!AN45</f>
        <v>0.999999010963809</v>
      </c>
      <c r="G52" s="1628">
        <f t="shared" si="1"/>
        <v>1</v>
      </c>
    </row>
    <row r="53" spans="1:7" ht="18" thickBot="1">
      <c r="A53" s="35"/>
      <c r="B53" s="1629" t="s">
        <v>193</v>
      </c>
      <c r="C53" s="1630">
        <f>'Soil-to-GroundWater'!U51</f>
        <v>7.543580269926268E-05</v>
      </c>
      <c r="D53" s="1630">
        <f>'Soil-to-GroundWater'!V51</f>
        <v>6.781268282045439E-05</v>
      </c>
      <c r="E53" s="1630">
        <f>'Soil-to-GroundWater'!W51</f>
        <v>0.00035718420770698955</v>
      </c>
      <c r="F53" s="1630">
        <f>'Soil-to-GroundWater'!X51</f>
        <v>0.9994995673067733</v>
      </c>
      <c r="G53" s="1628">
        <f t="shared" si="1"/>
        <v>1</v>
      </c>
    </row>
    <row r="54" ht="13.5" thickTop="1"/>
  </sheetData>
  <sheetProtection/>
  <printOptions/>
  <pageMargins left="0.2" right="0.23" top="1" bottom="0.74" header="0.5" footer="0.5"/>
  <pageSetup horizontalDpi="300" verticalDpi="300" orientation="landscape" r:id="rId3"/>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dimension ref="A1:I29"/>
  <sheetViews>
    <sheetView showGridLines="0" showRowColHeaders="0" zoomScale="142" zoomScaleNormal="142" zoomScalePageLayoutView="0" workbookViewId="0" topLeftCell="A1">
      <selection activeCell="B2" sqref="B2"/>
    </sheetView>
  </sheetViews>
  <sheetFormatPr defaultColWidth="9.140625" defaultRowHeight="12.75"/>
  <cols>
    <col min="1" max="1" width="1.28515625" style="35" customWidth="1"/>
    <col min="2" max="2" width="1.8515625" style="0" customWidth="1"/>
    <col min="3" max="3" width="14.28125" style="0" customWidth="1"/>
    <col min="4" max="4" width="24.00390625" style="0" customWidth="1"/>
    <col min="5" max="5" width="25.421875" style="0" customWidth="1"/>
    <col min="6" max="6" width="26.00390625" style="0" customWidth="1"/>
    <col min="7" max="7" width="1.421875" style="0" customWidth="1"/>
    <col min="8" max="8" width="1.7109375" style="0" customWidth="1"/>
    <col min="9" max="9" width="1.8515625" style="0" customWidth="1"/>
    <col min="10" max="10" width="4.421875" style="35" customWidth="1"/>
    <col min="11" max="11" width="8.8515625" style="35" customWidth="1"/>
  </cols>
  <sheetData>
    <row r="1" spans="1:9" ht="15" customHeight="1">
      <c r="A1" s="81"/>
      <c r="B1" s="81"/>
      <c r="C1" s="81"/>
      <c r="D1" s="81"/>
      <c r="E1" s="81"/>
      <c r="F1" s="81"/>
      <c r="G1" s="81"/>
      <c r="H1" s="81"/>
      <c r="I1" s="81"/>
    </row>
    <row r="2" spans="1:9" ht="4.5" customHeight="1" thickBot="1">
      <c r="A2" s="81"/>
      <c r="B2" s="87"/>
      <c r="C2" s="87"/>
      <c r="D2" s="87"/>
      <c r="E2" s="87"/>
      <c r="F2" s="87"/>
      <c r="G2" s="87"/>
      <c r="H2" s="87"/>
      <c r="I2" s="81"/>
    </row>
    <row r="3" spans="1:9" ht="3" customHeight="1" thickTop="1">
      <c r="A3" s="81"/>
      <c r="B3" s="87"/>
      <c r="C3" s="1406"/>
      <c r="D3" s="1407"/>
      <c r="E3" s="1407"/>
      <c r="F3" s="1407"/>
      <c r="G3" s="1408"/>
      <c r="H3" s="87"/>
      <c r="I3" s="81"/>
    </row>
    <row r="4" spans="1:9" ht="12" customHeight="1">
      <c r="A4" s="81"/>
      <c r="B4" s="87"/>
      <c r="C4" s="1693"/>
      <c r="D4" s="1694"/>
      <c r="E4" s="1409" t="s">
        <v>333</v>
      </c>
      <c r="F4" s="1410"/>
      <c r="G4" s="1411"/>
      <c r="H4" s="87"/>
      <c r="I4" s="81"/>
    </row>
    <row r="5" spans="1:9" ht="14.25" customHeight="1">
      <c r="A5" s="81"/>
      <c r="B5" s="87"/>
      <c r="C5" s="1850" t="s">
        <v>575</v>
      </c>
      <c r="D5" s="1851"/>
      <c r="E5" s="1409" t="s">
        <v>334</v>
      </c>
      <c r="F5" s="1410"/>
      <c r="G5" s="1411"/>
      <c r="H5" s="87"/>
      <c r="I5" s="81"/>
    </row>
    <row r="6" spans="1:9" ht="4.5" customHeight="1">
      <c r="A6" s="81"/>
      <c r="B6" s="87"/>
      <c r="C6" s="1412"/>
      <c r="D6" s="1410"/>
      <c r="E6" s="1413"/>
      <c r="F6" s="1410"/>
      <c r="G6" s="1411"/>
      <c r="H6" s="87"/>
      <c r="I6" s="81"/>
    </row>
    <row r="7" spans="1:9" ht="0" customHeight="1" hidden="1">
      <c r="A7" s="81"/>
      <c r="B7" s="87"/>
      <c r="C7" s="1412"/>
      <c r="D7" s="1410"/>
      <c r="E7" s="1414"/>
      <c r="F7" s="1410"/>
      <c r="G7" s="1411"/>
      <c r="H7" s="87"/>
      <c r="I7" s="81"/>
    </row>
    <row r="8" spans="1:9" ht="15" customHeight="1">
      <c r="A8" s="81"/>
      <c r="B8" s="87"/>
      <c r="C8" s="1844" t="s">
        <v>335</v>
      </c>
      <c r="D8" s="1845"/>
      <c r="E8" s="1845"/>
      <c r="F8" s="1845"/>
      <c r="G8" s="1846"/>
      <c r="H8" s="87"/>
      <c r="I8" s="81"/>
    </row>
    <row r="9" spans="1:9" ht="24" customHeight="1">
      <c r="A9" s="81"/>
      <c r="B9" s="87"/>
      <c r="C9" s="1415"/>
      <c r="D9" s="1416"/>
      <c r="E9" s="1417"/>
      <c r="F9" s="1418"/>
      <c r="G9" s="1419"/>
      <c r="H9" s="87"/>
      <c r="I9" s="81"/>
    </row>
    <row r="10" spans="1:9" ht="12.75">
      <c r="A10" s="81"/>
      <c r="B10" s="87"/>
      <c r="C10" s="1415"/>
      <c r="D10" s="1416"/>
      <c r="E10" s="1414"/>
      <c r="F10" s="1418"/>
      <c r="G10" s="1419"/>
      <c r="H10" s="87"/>
      <c r="I10" s="81"/>
    </row>
    <row r="11" spans="1:9" ht="16.5" customHeight="1">
      <c r="A11" s="81"/>
      <c r="B11" s="87"/>
      <c r="C11" s="1420"/>
      <c r="D11" s="1421"/>
      <c r="E11" s="1422"/>
      <c r="F11" s="1418"/>
      <c r="G11" s="1419"/>
      <c r="H11" s="87"/>
      <c r="I11" s="81"/>
    </row>
    <row r="12" spans="1:9" ht="12.75">
      <c r="A12" s="81"/>
      <c r="B12" s="87"/>
      <c r="C12" s="1420"/>
      <c r="D12" s="1423"/>
      <c r="E12" s="1414"/>
      <c r="F12" s="1418"/>
      <c r="G12" s="1419"/>
      <c r="H12" s="87"/>
      <c r="I12" s="81"/>
    </row>
    <row r="13" spans="1:9" ht="40.5" customHeight="1">
      <c r="A13" s="81"/>
      <c r="B13" s="87"/>
      <c r="C13" s="1424"/>
      <c r="D13" s="1418"/>
      <c r="E13" s="1418"/>
      <c r="F13" s="1418"/>
      <c r="G13" s="1419"/>
      <c r="H13" s="87"/>
      <c r="I13" s="81"/>
    </row>
    <row r="14" spans="1:9" ht="48" customHeight="1">
      <c r="A14" s="81"/>
      <c r="B14" s="87"/>
      <c r="C14" s="1424"/>
      <c r="D14" s="1418"/>
      <c r="E14" s="1418"/>
      <c r="F14" s="1418"/>
      <c r="G14" s="1419"/>
      <c r="H14" s="87"/>
      <c r="I14" s="81"/>
    </row>
    <row r="15" spans="1:9" ht="24.75" customHeight="1">
      <c r="A15" s="81"/>
      <c r="B15" s="87"/>
      <c r="C15" s="1425"/>
      <c r="D15" s="1418"/>
      <c r="E15" s="1418"/>
      <c r="F15" s="1418"/>
      <c r="G15" s="1419"/>
      <c r="H15" s="87"/>
      <c r="I15" s="81"/>
    </row>
    <row r="16" spans="1:9" ht="23.25" customHeight="1">
      <c r="A16" s="81"/>
      <c r="B16" s="87"/>
      <c r="C16" s="1425"/>
      <c r="D16" s="1418"/>
      <c r="E16" s="1418"/>
      <c r="F16" s="1418"/>
      <c r="G16" s="1419"/>
      <c r="H16" s="87"/>
      <c r="I16" s="81"/>
    </row>
    <row r="17" spans="1:9" ht="8.25" customHeight="1">
      <c r="A17" s="81"/>
      <c r="B17" s="87"/>
      <c r="C17" s="1425"/>
      <c r="D17" s="1418"/>
      <c r="E17" s="1418"/>
      <c r="F17" s="1418"/>
      <c r="G17" s="1419"/>
      <c r="H17" s="87"/>
      <c r="I17" s="81"/>
    </row>
    <row r="18" spans="1:9" ht="11.25" customHeight="1" thickBot="1">
      <c r="A18" s="81"/>
      <c r="B18" s="87"/>
      <c r="C18" s="1847" t="s">
        <v>657</v>
      </c>
      <c r="D18" s="1848"/>
      <c r="E18" s="1848"/>
      <c r="F18" s="1848"/>
      <c r="G18" s="1849"/>
      <c r="H18" s="87"/>
      <c r="I18" s="81"/>
    </row>
    <row r="19" spans="1:9" ht="9" customHeight="1" thickTop="1">
      <c r="A19" s="81"/>
      <c r="B19" s="87"/>
      <c r="C19" s="87"/>
      <c r="D19" s="87"/>
      <c r="E19" s="87"/>
      <c r="F19" s="87"/>
      <c r="G19" s="87"/>
      <c r="H19" s="87"/>
      <c r="I19" s="81"/>
    </row>
    <row r="20" spans="1:9" ht="6" customHeight="1">
      <c r="A20" s="81"/>
      <c r="B20" s="81"/>
      <c r="C20" s="81"/>
      <c r="D20" s="81"/>
      <c r="E20" s="81"/>
      <c r="F20" s="81"/>
      <c r="G20" s="81"/>
      <c r="H20" s="81"/>
      <c r="I20" s="81"/>
    </row>
    <row r="21" spans="1:9" ht="12.75">
      <c r="A21" s="81"/>
      <c r="B21" s="81"/>
      <c r="C21" s="81"/>
      <c r="D21" s="81"/>
      <c r="E21" s="81"/>
      <c r="F21" s="81"/>
      <c r="G21" s="81"/>
      <c r="H21" s="81"/>
      <c r="I21" s="81"/>
    </row>
    <row r="22" spans="1:9" ht="12.75">
      <c r="A22" s="81"/>
      <c r="B22" s="81"/>
      <c r="C22" s="81"/>
      <c r="D22" s="81"/>
      <c r="E22" s="81"/>
      <c r="F22" s="81"/>
      <c r="G22" s="81"/>
      <c r="H22" s="81"/>
      <c r="I22" s="81"/>
    </row>
    <row r="23" spans="1:9" ht="12.75">
      <c r="A23" s="81"/>
      <c r="B23" s="81"/>
      <c r="C23" s="81"/>
      <c r="D23" s="81"/>
      <c r="E23" s="81"/>
      <c r="F23" s="81"/>
      <c r="G23" s="81"/>
      <c r="H23" s="81"/>
      <c r="I23" s="81"/>
    </row>
    <row r="24" spans="1:9" ht="12.75">
      <c r="A24" s="81"/>
      <c r="B24" s="81"/>
      <c r="C24" s="81"/>
      <c r="D24" s="81"/>
      <c r="E24" s="81"/>
      <c r="F24" s="81"/>
      <c r="G24" s="81"/>
      <c r="H24" s="81"/>
      <c r="I24" s="81"/>
    </row>
    <row r="25" spans="2:9" ht="12.75">
      <c r="B25" s="35"/>
      <c r="C25" s="35"/>
      <c r="D25" s="35"/>
      <c r="E25" s="35"/>
      <c r="F25" s="35"/>
      <c r="G25" s="35"/>
      <c r="H25" s="35"/>
      <c r="I25" s="35"/>
    </row>
    <row r="26" spans="2:9" ht="12.75">
      <c r="B26" s="35"/>
      <c r="C26" s="35"/>
      <c r="D26" s="35"/>
      <c r="E26" s="35"/>
      <c r="F26" s="35"/>
      <c r="G26" s="35"/>
      <c r="H26" s="35"/>
      <c r="I26" s="35"/>
    </row>
    <row r="27" spans="2:9" ht="12.75">
      <c r="B27" s="35"/>
      <c r="C27" s="35"/>
      <c r="D27" s="35"/>
      <c r="E27" s="35"/>
      <c r="F27" s="35"/>
      <c r="G27" s="35"/>
      <c r="H27" s="35"/>
      <c r="I27" s="35"/>
    </row>
    <row r="28" spans="2:9" ht="12.75">
      <c r="B28" s="35"/>
      <c r="C28" s="35"/>
      <c r="D28" s="35"/>
      <c r="E28" s="35"/>
      <c r="F28" s="35"/>
      <c r="G28" s="35"/>
      <c r="H28" s="35"/>
      <c r="I28" s="35"/>
    </row>
    <row r="29" spans="2:9" ht="12.75">
      <c r="B29" s="35"/>
      <c r="C29" s="35"/>
      <c r="D29" s="35"/>
      <c r="E29" s="35"/>
      <c r="F29" s="35"/>
      <c r="G29" s="35"/>
      <c r="H29" s="35"/>
      <c r="I29" s="35"/>
    </row>
  </sheetData>
  <sheetProtection/>
  <mergeCells count="3">
    <mergeCell ref="C8:G8"/>
    <mergeCell ref="C18:G18"/>
    <mergeCell ref="C5:D5"/>
  </mergeCells>
  <hyperlinks>
    <hyperlink ref="C5" r:id="rId1" display="Link to Tools under Ecology's TCP program"/>
  </hyperlinks>
  <printOptions/>
  <pageMargins left="0.67" right="0.5" top="1.32" bottom="1" header="0.48" footer="0.5"/>
  <pageSetup blackAndWhite="1" horizontalDpi="600" verticalDpi="600" orientation="portrait" scale="94" r:id="rId4"/>
  <headerFooter alignWithMargins="0">
    <oddHeader>&amp;CWashington State Department of Ecology, Toxics Cleanup Program</oddHeader>
    <oddFooter>&amp;C&amp;F&amp;R&amp;D</oddFooter>
  </headerFooter>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M1">
      <selection activeCell="A1" sqref="A1"/>
    </sheetView>
  </sheetViews>
  <sheetFormatPr defaultColWidth="0.85546875" defaultRowHeight="4.5" customHeight="1"/>
  <cols>
    <col min="1" max="16384" width="0.85546875" style="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395"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Hun Seak PARK: Toxics Cleanup Program</Manager>
  <Company>Washington State Department of Ecology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MTCA-Soil and Ground Water TPH Cleanup Levels</dc:title>
  <dc:subject>MTCA WAC 173-340-720, 740, 745, 747, 750</dc:subject>
  <dc:creator>Hun Seak PARK, Senior Engineer</dc:creator>
  <cp:keywords>3 &amp; 4 phase, equilibrium, partitioning, TPH, model, direct soil contact (dermal &amp; ingestion), leaching, vapor</cp:keywords>
  <dc:description>This program is compiled under MS EXCEL XP and 2002 Versions</dc:description>
  <cp:lastModifiedBy>hpar461</cp:lastModifiedBy>
  <cp:lastPrinted>2008-06-26T20:17:45Z</cp:lastPrinted>
  <dcterms:created xsi:type="dcterms:W3CDTF">1998-05-08T22:56:13Z</dcterms:created>
  <dcterms:modified xsi:type="dcterms:W3CDTF">2008-09-08T21:37:48Z</dcterms:modified>
  <cp:category>Version 11.0</cp:category>
  <cp:version/>
  <cp:contentType/>
  <cp:contentStatus/>
</cp:coreProperties>
</file>

<file path=docProps/custom.xml><?xml version="1.0" encoding="utf-8"?>
<Properties xmlns="http://schemas.openxmlformats.org/officeDocument/2006/custom-properties" xmlns:vt="http://schemas.openxmlformats.org/officeDocument/2006/docPropsVTypes"/>
</file>